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scontrols459-my.sharepoint.com/personal/ericc_rosscontrols_com/Documents/Documents/Engineering Stuff/Calculations/"/>
    </mc:Choice>
  </mc:AlternateContent>
  <xr:revisionPtr revIDLastSave="417" documentId="8_{F855741C-AE34-4D90-83F9-864CCDB38316}" xr6:coauthVersionLast="47" xr6:coauthVersionMax="47" xr10:uidLastSave="{312B3F30-BF0F-4110-B270-A8BE45357C67}"/>
  <bookViews>
    <workbookView xWindow="-120" yWindow="-120" windowWidth="29040" windowHeight="15840" xr2:uid="{5302EB77-4602-435C-B192-03CC9DE7244A}"/>
  </bookViews>
  <sheets>
    <sheet name="Force Calculations" sheetId="3" r:id="rId1"/>
    <sheet name="Fuerza Calculos (Spanish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E17" i="4"/>
  <c r="E17" i="3"/>
  <c r="F17" i="3"/>
  <c r="F21" i="4"/>
  <c r="F20" i="4"/>
  <c r="F22" i="4"/>
  <c r="F23" i="4"/>
  <c r="E23" i="4"/>
  <c r="E22" i="4"/>
  <c r="E21" i="4"/>
  <c r="D17" i="4"/>
  <c r="E11" i="4"/>
  <c r="E10" i="4"/>
  <c r="E9" i="4"/>
  <c r="E8" i="4"/>
  <c r="E12" i="4" s="1"/>
  <c r="L39" i="4"/>
  <c r="R39" i="4" s="1"/>
  <c r="C39" i="4"/>
  <c r="H39" i="4" s="1"/>
  <c r="L38" i="4"/>
  <c r="P38" i="4" s="1"/>
  <c r="C38" i="4"/>
  <c r="F38" i="4" s="1"/>
  <c r="L37" i="4"/>
  <c r="N37" i="4" s="1"/>
  <c r="C37" i="4"/>
  <c r="D37" i="4" s="1"/>
  <c r="L36" i="4"/>
  <c r="M36" i="4" s="1"/>
  <c r="C36" i="4"/>
  <c r="I36" i="4" s="1"/>
  <c r="L35" i="4"/>
  <c r="R35" i="4" s="1"/>
  <c r="C35" i="4"/>
  <c r="H35" i="4" s="1"/>
  <c r="L34" i="4"/>
  <c r="P34" i="4" s="1"/>
  <c r="C34" i="4"/>
  <c r="F34" i="4" s="1"/>
  <c r="Q33" i="4"/>
  <c r="L33" i="4"/>
  <c r="N33" i="4" s="1"/>
  <c r="C33" i="4"/>
  <c r="D33" i="4" s="1"/>
  <c r="L32" i="4"/>
  <c r="R32" i="4" s="1"/>
  <c r="C32" i="4"/>
  <c r="I32" i="4" s="1"/>
  <c r="L31" i="4"/>
  <c r="R31" i="4" s="1"/>
  <c r="C31" i="4"/>
  <c r="H31" i="4" s="1"/>
  <c r="L30" i="4"/>
  <c r="P30" i="4" s="1"/>
  <c r="C30" i="4"/>
  <c r="F30" i="4" s="1"/>
  <c r="N18" i="4"/>
  <c r="M18" i="4"/>
  <c r="L18" i="4"/>
  <c r="K18" i="4"/>
  <c r="N16" i="4"/>
  <c r="M16" i="4"/>
  <c r="L16" i="4"/>
  <c r="K16" i="4"/>
  <c r="B12" i="4"/>
  <c r="D15" i="4" s="1"/>
  <c r="L39" i="3"/>
  <c r="R39" i="3" s="1"/>
  <c r="C39" i="3"/>
  <c r="H39" i="3" s="1"/>
  <c r="L38" i="3"/>
  <c r="P38" i="3" s="1"/>
  <c r="C38" i="3"/>
  <c r="F38" i="3" s="1"/>
  <c r="L37" i="3"/>
  <c r="N37" i="3" s="1"/>
  <c r="C37" i="3"/>
  <c r="D37" i="3" s="1"/>
  <c r="L36" i="3"/>
  <c r="N36" i="3" s="1"/>
  <c r="C36" i="3"/>
  <c r="I36" i="3" s="1"/>
  <c r="L35" i="3"/>
  <c r="R35" i="3" s="1"/>
  <c r="C35" i="3"/>
  <c r="H35" i="3" s="1"/>
  <c r="L34" i="3"/>
  <c r="P34" i="3" s="1"/>
  <c r="C34" i="3"/>
  <c r="F34" i="3" s="1"/>
  <c r="L33" i="3"/>
  <c r="N33" i="3" s="1"/>
  <c r="C33" i="3"/>
  <c r="D33" i="3" s="1"/>
  <c r="P32" i="3"/>
  <c r="O32" i="3"/>
  <c r="L32" i="3"/>
  <c r="R32" i="3" s="1"/>
  <c r="C32" i="3"/>
  <c r="F32" i="3" s="1"/>
  <c r="L31" i="3"/>
  <c r="R31" i="3" s="1"/>
  <c r="C31" i="3"/>
  <c r="H31" i="3" s="1"/>
  <c r="L30" i="3"/>
  <c r="P30" i="3" s="1"/>
  <c r="C30" i="3"/>
  <c r="F30" i="3" s="1"/>
  <c r="N18" i="3"/>
  <c r="M18" i="3"/>
  <c r="L18" i="3"/>
  <c r="K18" i="3"/>
  <c r="N16" i="3"/>
  <c r="M16" i="3"/>
  <c r="L16" i="3"/>
  <c r="K16" i="3"/>
  <c r="B12" i="3"/>
  <c r="D15" i="3" s="1"/>
  <c r="E11" i="3"/>
  <c r="E10" i="3"/>
  <c r="E9" i="3"/>
  <c r="E8" i="3"/>
  <c r="E12" i="3" s="1"/>
  <c r="H33" i="4" l="1"/>
  <c r="R34" i="4"/>
  <c r="Q36" i="4"/>
  <c r="G33" i="4"/>
  <c r="I33" i="4"/>
  <c r="R36" i="4"/>
  <c r="E33" i="4"/>
  <c r="N36" i="4"/>
  <c r="O36" i="4"/>
  <c r="I35" i="4"/>
  <c r="Q34" i="4"/>
  <c r="P33" i="4"/>
  <c r="I31" i="4"/>
  <c r="I39" i="4"/>
  <c r="G30" i="4"/>
  <c r="G38" i="4"/>
  <c r="I30" i="4"/>
  <c r="I38" i="4"/>
  <c r="H37" i="4"/>
  <c r="H30" i="4"/>
  <c r="F33" i="4"/>
  <c r="R33" i="4"/>
  <c r="P36" i="4"/>
  <c r="I37" i="4"/>
  <c r="H38" i="4"/>
  <c r="Q38" i="4"/>
  <c r="M32" i="4"/>
  <c r="Q30" i="4"/>
  <c r="H34" i="4"/>
  <c r="P37" i="4"/>
  <c r="C15" i="4"/>
  <c r="C17" i="4" s="1"/>
  <c r="E20" i="4" s="1"/>
  <c r="R30" i="4"/>
  <c r="O32" i="4"/>
  <c r="I34" i="4"/>
  <c r="E37" i="4"/>
  <c r="Q37" i="4"/>
  <c r="R38" i="4"/>
  <c r="G34" i="4"/>
  <c r="P32" i="4"/>
  <c r="O33" i="4"/>
  <c r="F37" i="4"/>
  <c r="R37" i="4"/>
  <c r="O37" i="4"/>
  <c r="N32" i="4"/>
  <c r="G37" i="4"/>
  <c r="C16" i="4"/>
  <c r="D16" i="4"/>
  <c r="D36" i="4"/>
  <c r="E32" i="4"/>
  <c r="E36" i="4"/>
  <c r="F32" i="4"/>
  <c r="N35" i="4"/>
  <c r="N39" i="4"/>
  <c r="M30" i="4"/>
  <c r="E31" i="4"/>
  <c r="O31" i="4"/>
  <c r="G32" i="4"/>
  <c r="Q32" i="4"/>
  <c r="M34" i="4"/>
  <c r="E35" i="4"/>
  <c r="O35" i="4"/>
  <c r="G36" i="4"/>
  <c r="M38" i="4"/>
  <c r="E39" i="4"/>
  <c r="O39" i="4"/>
  <c r="D30" i="4"/>
  <c r="N30" i="4"/>
  <c r="F31" i="4"/>
  <c r="P31" i="4"/>
  <c r="H32" i="4"/>
  <c r="D34" i="4"/>
  <c r="N34" i="4"/>
  <c r="F35" i="4"/>
  <c r="P35" i="4"/>
  <c r="H36" i="4"/>
  <c r="D38" i="4"/>
  <c r="N38" i="4"/>
  <c r="F39" i="4"/>
  <c r="P39" i="4"/>
  <c r="D32" i="4"/>
  <c r="M31" i="4"/>
  <c r="M35" i="4"/>
  <c r="M39" i="4"/>
  <c r="D31" i="4"/>
  <c r="F36" i="4"/>
  <c r="D39" i="4"/>
  <c r="E30" i="4"/>
  <c r="O30" i="4"/>
  <c r="G31" i="4"/>
  <c r="Q31" i="4"/>
  <c r="M33" i="4"/>
  <c r="E34" i="4"/>
  <c r="O34" i="4"/>
  <c r="G35" i="4"/>
  <c r="Q35" i="4"/>
  <c r="M37" i="4"/>
  <c r="E38" i="4"/>
  <c r="O38" i="4"/>
  <c r="G39" i="4"/>
  <c r="Q39" i="4"/>
  <c r="N31" i="4"/>
  <c r="D35" i="4"/>
  <c r="R36" i="3"/>
  <c r="G38" i="3"/>
  <c r="E37" i="3"/>
  <c r="H38" i="3"/>
  <c r="F37" i="3"/>
  <c r="I38" i="3"/>
  <c r="O33" i="3"/>
  <c r="G37" i="3"/>
  <c r="Q33" i="3"/>
  <c r="O36" i="3"/>
  <c r="H37" i="3"/>
  <c r="R33" i="3"/>
  <c r="P36" i="3"/>
  <c r="I37" i="3"/>
  <c r="D16" i="3"/>
  <c r="D18" i="3" s="1"/>
  <c r="M32" i="3"/>
  <c r="Q36" i="3"/>
  <c r="C16" i="3"/>
  <c r="C18" i="3" s="1"/>
  <c r="G30" i="3"/>
  <c r="N31" i="3"/>
  <c r="E33" i="3"/>
  <c r="G34" i="3"/>
  <c r="P37" i="3"/>
  <c r="Q38" i="3"/>
  <c r="I31" i="3"/>
  <c r="M31" i="3"/>
  <c r="O37" i="3"/>
  <c r="I30" i="3"/>
  <c r="P31" i="3"/>
  <c r="G33" i="3"/>
  <c r="I34" i="3"/>
  <c r="Q37" i="3"/>
  <c r="C15" i="3"/>
  <c r="E15" i="3" s="1"/>
  <c r="D30" i="3"/>
  <c r="H33" i="3"/>
  <c r="M36" i="3"/>
  <c r="R37" i="3"/>
  <c r="M35" i="3"/>
  <c r="N35" i="3"/>
  <c r="Q30" i="3"/>
  <c r="Q34" i="3"/>
  <c r="N39" i="3"/>
  <c r="F15" i="3"/>
  <c r="D17" i="3"/>
  <c r="I35" i="3"/>
  <c r="I39" i="3"/>
  <c r="H30" i="3"/>
  <c r="R30" i="3"/>
  <c r="D32" i="3"/>
  <c r="N32" i="3"/>
  <c r="F33" i="3"/>
  <c r="P33" i="3"/>
  <c r="H34" i="3"/>
  <c r="R34" i="3"/>
  <c r="D36" i="3"/>
  <c r="R38" i="3"/>
  <c r="M39" i="3"/>
  <c r="E36" i="3"/>
  <c r="D31" i="3"/>
  <c r="D35" i="3"/>
  <c r="F36" i="3"/>
  <c r="D39" i="3"/>
  <c r="E32" i="3"/>
  <c r="M30" i="3"/>
  <c r="E31" i="3"/>
  <c r="O31" i="3"/>
  <c r="G32" i="3"/>
  <c r="Q32" i="3"/>
  <c r="I33" i="3"/>
  <c r="M34" i="3"/>
  <c r="E35" i="3"/>
  <c r="O35" i="3"/>
  <c r="G36" i="3"/>
  <c r="M38" i="3"/>
  <c r="E39" i="3"/>
  <c r="O39" i="3"/>
  <c r="N30" i="3"/>
  <c r="F31" i="3"/>
  <c r="H32" i="3"/>
  <c r="D34" i="3"/>
  <c r="N34" i="3"/>
  <c r="F35" i="3"/>
  <c r="P35" i="3"/>
  <c r="H36" i="3"/>
  <c r="D38" i="3"/>
  <c r="N38" i="3"/>
  <c r="F39" i="3"/>
  <c r="P39" i="3"/>
  <c r="E30" i="3"/>
  <c r="O30" i="3"/>
  <c r="G31" i="3"/>
  <c r="Q31" i="3"/>
  <c r="I32" i="3"/>
  <c r="M33" i="3"/>
  <c r="E34" i="3"/>
  <c r="O34" i="3"/>
  <c r="G35" i="3"/>
  <c r="Q35" i="3"/>
  <c r="M37" i="3"/>
  <c r="E38" i="3"/>
  <c r="O38" i="3"/>
  <c r="G39" i="3"/>
  <c r="Q39" i="3"/>
  <c r="F15" i="4" l="1"/>
  <c r="D18" i="4"/>
  <c r="E15" i="4"/>
  <c r="C18" i="4"/>
  <c r="C17" i="3"/>
  <c r="E22" i="3" s="1"/>
  <c r="F23" i="3"/>
  <c r="F22" i="3"/>
  <c r="F20" i="3"/>
  <c r="F21" i="3"/>
  <c r="E20" i="3" l="1"/>
  <c r="E21" i="3"/>
  <c r="E23" i="3"/>
</calcChain>
</file>

<file path=xl/sharedStrings.xml><?xml version="1.0" encoding="utf-8"?>
<sst xmlns="http://schemas.openxmlformats.org/spreadsheetml/2006/main" count="186" uniqueCount="98">
  <si>
    <t>Instructions:</t>
  </si>
  <si>
    <t>1. Enter data for bore size, contact area, high, and low pressures.</t>
  </si>
  <si>
    <t>B11.0 Table 8</t>
  </si>
  <si>
    <t>Units</t>
  </si>
  <si>
    <t>Catastrophic</t>
  </si>
  <si>
    <t>Serious</t>
  </si>
  <si>
    <t>Moderate</t>
  </si>
  <si>
    <t>Minor</t>
  </si>
  <si>
    <t>2. The pounds force and pressure will be calculated.</t>
  </si>
  <si>
    <t>Force</t>
  </si>
  <si>
    <t>lbf</t>
  </si>
  <si>
    <t>3. The estimated PLs based on standard anthropomorphic data will be shown.</t>
  </si>
  <si>
    <t>N</t>
  </si>
  <si>
    <t>Pressure</t>
  </si>
  <si>
    <t>psi</t>
  </si>
  <si>
    <t>N/cm^2</t>
  </si>
  <si>
    <t>System Data</t>
  </si>
  <si>
    <t>Imperial</t>
  </si>
  <si>
    <t>Metric</t>
  </si>
  <si>
    <t>PLr</t>
  </si>
  <si>
    <t>-</t>
  </si>
  <si>
    <t>e</t>
  </si>
  <si>
    <t>d</t>
  </si>
  <si>
    <t>c</t>
  </si>
  <si>
    <t>b</t>
  </si>
  <si>
    <t>Bore</t>
  </si>
  <si>
    <t>in</t>
  </si>
  <si>
    <t>mm</t>
  </si>
  <si>
    <t>Tooling contact area</t>
  </si>
  <si>
    <t>in^2</t>
  </si>
  <si>
    <t>mm^2</t>
  </si>
  <si>
    <t>ISO/TS15066</t>
  </si>
  <si>
    <t>Head</t>
  </si>
  <si>
    <t>Hand</t>
  </si>
  <si>
    <t>Chest</t>
  </si>
  <si>
    <t>Leg</t>
  </si>
  <si>
    <t>High pressure</t>
  </si>
  <si>
    <t>mpa</t>
  </si>
  <si>
    <t>Low pressure</t>
  </si>
  <si>
    <t>Bore Area</t>
  </si>
  <si>
    <t>Pressure at tool</t>
  </si>
  <si>
    <t>Calculations</t>
  </si>
  <si>
    <t>High Pressure</t>
  </si>
  <si>
    <t>Low Pressure</t>
  </si>
  <si>
    <t>Force  (#)</t>
  </si>
  <si>
    <t>Force (N)</t>
  </si>
  <si>
    <t>Area</t>
  </si>
  <si>
    <t>15 psi</t>
  </si>
  <si>
    <t>30 psi</t>
  </si>
  <si>
    <t>45 psi</t>
  </si>
  <si>
    <t>80 psi</t>
  </si>
  <si>
    <t>100 psi</t>
  </si>
  <si>
    <t>150 psi</t>
  </si>
  <si>
    <t>1 BAR</t>
  </si>
  <si>
    <t>2 BAR</t>
  </si>
  <si>
    <t>3 BAR</t>
  </si>
  <si>
    <t>5.5 BAR</t>
  </si>
  <si>
    <t>7 BAR</t>
  </si>
  <si>
    <t>10 BAR</t>
  </si>
  <si>
    <t>ISO 15066 (Pressure at Tool)</t>
  </si>
  <si>
    <t>Refernce Information:</t>
  </si>
  <si>
    <t>B11.0 PLr at Low Pressure</t>
  </si>
  <si>
    <t>B11.0 PLr at High Pressure</t>
  </si>
  <si>
    <t>Standards used include B11.0 Annex E Fracture data &amp; ISO/TS15066</t>
  </si>
  <si>
    <t>Instrucciones:</t>
  </si>
  <si>
    <t>1. Introduzca datos del cilindro, diámetro del vástago, el área de contacto, la alta y baja presión.</t>
  </si>
  <si>
    <t>2. Se calculará la fuerza y la presión el libras.</t>
  </si>
  <si>
    <t>3. Se mostrarán los PLs estimados basados en datos antropomórficos estándar.</t>
  </si>
  <si>
    <t>Las normas utilizadas incluyen datos de fractura del Anexo E B11.0,</t>
  </si>
  <si>
    <t xml:space="preserve">Métrica </t>
  </si>
  <si>
    <t>Datos del Sistema</t>
  </si>
  <si>
    <t>Diámetro Vástago</t>
  </si>
  <si>
    <t>Área de contacto de herramientas</t>
  </si>
  <si>
    <t>Alta presión</t>
  </si>
  <si>
    <t>Baja presión</t>
  </si>
  <si>
    <t>Área de Vástago</t>
  </si>
  <si>
    <t>Fuerza</t>
  </si>
  <si>
    <t>Presión en la Herramienta</t>
  </si>
  <si>
    <t>Cálculos</t>
  </si>
  <si>
    <t>Unidades</t>
  </si>
  <si>
    <t xml:space="preserve">Alta Presión        </t>
  </si>
  <si>
    <t xml:space="preserve">Baja Presión       </t>
  </si>
  <si>
    <t xml:space="preserve">B11.0 PLr Alto      </t>
  </si>
  <si>
    <t>B11.0 PLr Bajo</t>
  </si>
  <si>
    <t>B11.0 Tabla 8</t>
  </si>
  <si>
    <t>Presión</t>
  </si>
  <si>
    <t>Catastrófico</t>
  </si>
  <si>
    <t>Serio </t>
  </si>
  <si>
    <t>Moderado</t>
  </si>
  <si>
    <t>Menor</t>
  </si>
  <si>
    <t xml:space="preserve">Cabeza </t>
  </si>
  <si>
    <t>Cabeza</t>
  </si>
  <si>
    <t>Mano</t>
  </si>
  <si>
    <t>Pecho</t>
  </si>
  <si>
    <t>Pierna</t>
  </si>
  <si>
    <t>Vástago</t>
  </si>
  <si>
    <t>Fuerza  (#)</t>
  </si>
  <si>
    <t>Fuerza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</si>
</sst>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5" fontId="0" fillId="0" borderId="0" xfId="0" applyNumberForma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2" fontId="0" fillId="0" borderId="1" xfId="0" quotePrefix="1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0" borderId="1" xfId="0" quotePrefix="1" applyNumberFormat="1" applyBorder="1" applyAlignment="1" applyProtection="1">
      <alignment horizontal="center"/>
    </xf>
    <xf numFmtId="1" fontId="0" fillId="2" borderId="1" xfId="0" quotePrefix="1" applyNumberFormat="1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1" fontId="0" fillId="3" borderId="1" xfId="0" quotePrefix="1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" fontId="0" fillId="4" borderId="1" xfId="0" quotePrefix="1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5" xfId="0" applyBorder="1" applyProtection="1"/>
    <xf numFmtId="0" fontId="2" fillId="0" borderId="0" xfId="0" applyFont="1" applyProtection="1"/>
    <xf numFmtId="0" fontId="0" fillId="0" borderId="3" xfId="0" applyBorder="1" applyProtection="1"/>
    <xf numFmtId="0" fontId="0" fillId="6" borderId="0" xfId="0" applyFill="1" applyBorder="1" applyProtection="1">
      <protection locked="0"/>
    </xf>
    <xf numFmtId="0" fontId="0" fillId="0" borderId="0" xfId="0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7" borderId="0" xfId="0" applyFont="1" applyFill="1"/>
    <xf numFmtId="0" fontId="0" fillId="7" borderId="0" xfId="0" applyFill="1"/>
    <xf numFmtId="0" fontId="2" fillId="7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0" fillId="7" borderId="0" xfId="0" applyFill="1" applyProtection="1"/>
    <xf numFmtId="165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/>
    </xf>
    <xf numFmtId="0" fontId="2" fillId="8" borderId="17" xfId="0" applyFont="1" applyFill="1" applyBorder="1" applyAlignment="1" applyProtection="1">
      <alignment horizontal="center"/>
    </xf>
    <xf numFmtId="0" fontId="2" fillId="8" borderId="2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center" wrapText="1"/>
    </xf>
    <xf numFmtId="0" fontId="2" fillId="8" borderId="27" xfId="0" applyFont="1" applyFill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/>
    </xf>
    <xf numFmtId="0" fontId="2" fillId="9" borderId="17" xfId="0" applyFont="1" applyFill="1" applyBorder="1" applyAlignment="1" applyProtection="1">
      <alignment horizontal="center"/>
    </xf>
    <xf numFmtId="0" fontId="2" fillId="9" borderId="17" xfId="0" applyFont="1" applyFill="1" applyBorder="1" applyAlignment="1" applyProtection="1">
      <alignment horizontal="center" wrapText="1"/>
    </xf>
    <xf numFmtId="0" fontId="2" fillId="9" borderId="21" xfId="0" applyFont="1" applyFill="1" applyBorder="1" applyAlignment="1" applyProtection="1">
      <alignment horizontal="center" wrapText="1"/>
    </xf>
    <xf numFmtId="0" fontId="0" fillId="9" borderId="1" xfId="0" applyFill="1" applyBorder="1" applyAlignment="1" applyProtection="1">
      <alignment horizontal="center"/>
    </xf>
    <xf numFmtId="165" fontId="0" fillId="9" borderId="1" xfId="0" applyNumberFormat="1" applyFill="1" applyBorder="1" applyAlignment="1" applyProtection="1">
      <alignment horizontal="center"/>
    </xf>
    <xf numFmtId="165" fontId="0" fillId="9" borderId="8" xfId="0" applyNumberFormat="1" applyFill="1" applyBorder="1" applyAlignment="1" applyProtection="1">
      <alignment horizontal="center"/>
    </xf>
    <xf numFmtId="0" fontId="0" fillId="9" borderId="20" xfId="0" applyFill="1" applyBorder="1" applyAlignment="1" applyProtection="1">
      <alignment horizontal="center"/>
    </xf>
    <xf numFmtId="165" fontId="0" fillId="9" borderId="20" xfId="0" applyNumberFormat="1" applyFill="1" applyBorder="1" applyAlignment="1" applyProtection="1">
      <alignment horizontal="center"/>
    </xf>
    <xf numFmtId="165" fontId="0" fillId="9" borderId="25" xfId="0" applyNumberFormat="1" applyFill="1" applyBorder="1" applyAlignment="1" applyProtection="1">
      <alignment horizontal="center"/>
    </xf>
    <xf numFmtId="0" fontId="2" fillId="9" borderId="2" xfId="0" applyFont="1" applyFill="1" applyBorder="1" applyProtection="1"/>
    <xf numFmtId="0" fontId="0" fillId="9" borderId="3" xfId="0" applyFill="1" applyBorder="1" applyProtection="1"/>
    <xf numFmtId="0" fontId="0" fillId="9" borderId="5" xfId="0" applyFill="1" applyBorder="1" applyProtection="1"/>
    <xf numFmtId="0" fontId="0" fillId="9" borderId="9" xfId="0" applyFill="1" applyBorder="1" applyProtection="1"/>
    <xf numFmtId="166" fontId="0" fillId="9" borderId="10" xfId="0" applyNumberFormat="1" applyFill="1" applyBorder="1" applyProtection="1"/>
    <xf numFmtId="0" fontId="0" fillId="9" borderId="10" xfId="0" applyFill="1" applyBorder="1" applyAlignment="1" applyProtection="1">
      <alignment horizontal="center"/>
    </xf>
    <xf numFmtId="0" fontId="0" fillId="9" borderId="10" xfId="0" applyFill="1" applyBorder="1" applyProtection="1"/>
    <xf numFmtId="1" fontId="0" fillId="9" borderId="10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Protection="1"/>
    <xf numFmtId="0" fontId="0" fillId="9" borderId="6" xfId="0" applyFill="1" applyBorder="1" applyAlignment="1" applyProtection="1">
      <alignment horizontal="center"/>
    </xf>
    <xf numFmtId="164" fontId="0" fillId="9" borderId="0" xfId="0" applyNumberFormat="1" applyFill="1" applyBorder="1" applyProtection="1"/>
    <xf numFmtId="0" fontId="0" fillId="0" borderId="2" xfId="0" applyBorder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0" fillId="0" borderId="4" xfId="0" applyBorder="1" applyProtection="1"/>
    <xf numFmtId="165" fontId="0" fillId="0" borderId="5" xfId="0" applyNumberFormat="1" applyBorder="1" applyProtection="1"/>
    <xf numFmtId="0" fontId="0" fillId="0" borderId="6" xfId="0" applyBorder="1" applyProtection="1"/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18" xfId="0" quotePrefix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" fontId="0" fillId="3" borderId="19" xfId="0" applyNumberFormat="1" applyFill="1" applyBorder="1" applyAlignment="1" applyProtection="1">
      <alignment horizontal="center"/>
    </xf>
    <xf numFmtId="1" fontId="0" fillId="4" borderId="19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1" fontId="0" fillId="3" borderId="20" xfId="0" applyNumberFormat="1" applyFill="1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</xf>
    <xf numFmtId="2" fontId="0" fillId="0" borderId="20" xfId="0" quotePrefix="1" applyNumberFormat="1" applyBorder="1" applyAlignment="1" applyProtection="1">
      <alignment horizontal="center"/>
    </xf>
    <xf numFmtId="1" fontId="0" fillId="4" borderId="15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</xf>
    <xf numFmtId="2" fontId="0" fillId="9" borderId="0" xfId="0" applyNumberFormat="1" applyFill="1" applyBorder="1" applyProtection="1"/>
    <xf numFmtId="0" fontId="2" fillId="8" borderId="30" xfId="0" applyFont="1" applyFill="1" applyBorder="1" applyAlignment="1" applyProtection="1">
      <alignment horizontal="center" wrapText="1"/>
    </xf>
    <xf numFmtId="0" fontId="2" fillId="9" borderId="13" xfId="0" applyFont="1" applyFill="1" applyBorder="1" applyAlignment="1" applyProtection="1">
      <alignment horizontal="center" wrapText="1"/>
    </xf>
    <xf numFmtId="165" fontId="0" fillId="9" borderId="19" xfId="0" applyNumberFormat="1" applyFill="1" applyBorder="1" applyAlignment="1" applyProtection="1">
      <alignment horizontal="center"/>
    </xf>
    <xf numFmtId="165" fontId="0" fillId="9" borderId="15" xfId="0" applyNumberForma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/>
    </xf>
    <xf numFmtId="0" fontId="2" fillId="9" borderId="18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FF96-B23C-4E2B-BEDA-9B8ADCA8CDBB}">
  <dimension ref="A1:R41"/>
  <sheetViews>
    <sheetView showGridLines="0" tabSelected="1" workbookViewId="0">
      <selection activeCell="E19" sqref="E19"/>
    </sheetView>
  </sheetViews>
  <sheetFormatPr defaultRowHeight="15" x14ac:dyDescent="0.25"/>
  <cols>
    <col min="1" max="1" width="19.5703125" customWidth="1"/>
    <col min="2" max="4" width="10.85546875" bestFit="1" customWidth="1"/>
    <col min="5" max="5" width="13.42578125" customWidth="1"/>
    <col min="6" max="6" width="12.5703125" customWidth="1"/>
    <col min="7" max="7" width="9.7109375" customWidth="1"/>
    <col min="8" max="8" width="10.85546875" customWidth="1"/>
    <col min="9" max="9" width="12.42578125" bestFit="1" customWidth="1"/>
    <col min="11" max="11" width="12.42578125" bestFit="1" customWidth="1"/>
    <col min="13" max="13" width="12" bestFit="1" customWidth="1"/>
    <col min="15" max="15" width="9.85546875" bestFit="1" customWidth="1"/>
    <col min="16" max="16" width="7.5703125" bestFit="1" customWidth="1"/>
    <col min="19" max="19" width="12.28515625" bestFit="1" customWidth="1"/>
  </cols>
  <sheetData>
    <row r="1" spans="1:18" x14ac:dyDescent="0.2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 t="s">
        <v>1</v>
      </c>
      <c r="B2" s="2"/>
      <c r="C2" s="2"/>
      <c r="D2" s="2"/>
      <c r="E2" s="2"/>
      <c r="F2" s="2"/>
      <c r="G2" s="2"/>
      <c r="H2" s="2"/>
      <c r="O2" s="2"/>
      <c r="P2" s="2"/>
      <c r="Q2" s="2"/>
      <c r="R2" s="2"/>
    </row>
    <row r="3" spans="1:18" x14ac:dyDescent="0.25">
      <c r="A3" s="2" t="s">
        <v>8</v>
      </c>
      <c r="B3" s="2"/>
      <c r="C3" s="2"/>
      <c r="D3" s="2"/>
      <c r="E3" s="2"/>
      <c r="F3" s="2"/>
      <c r="G3" s="2"/>
      <c r="H3" s="2"/>
      <c r="O3" s="2"/>
      <c r="P3" s="2"/>
      <c r="Q3" s="2"/>
      <c r="R3" s="2"/>
    </row>
    <row r="4" spans="1:18" x14ac:dyDescent="0.25">
      <c r="A4" s="2" t="s">
        <v>11</v>
      </c>
      <c r="B4" s="2"/>
      <c r="C4" s="2"/>
      <c r="D4" s="2"/>
      <c r="E4" s="2"/>
      <c r="F4" s="2"/>
      <c r="G4" s="2"/>
      <c r="H4" s="2"/>
      <c r="O4" s="2"/>
      <c r="P4" s="2"/>
      <c r="Q4" s="2"/>
      <c r="R4" s="2"/>
    </row>
    <row r="5" spans="1:18" x14ac:dyDescent="0.25">
      <c r="A5" s="2" t="s">
        <v>63</v>
      </c>
      <c r="B5" s="2"/>
      <c r="C5" s="2"/>
      <c r="D5" s="2"/>
      <c r="E5" s="2"/>
      <c r="F5" s="2"/>
      <c r="G5" s="2"/>
      <c r="H5" s="2"/>
      <c r="I5" s="38" t="s">
        <v>60</v>
      </c>
      <c r="J5" s="39"/>
      <c r="K5" s="39"/>
      <c r="L5" s="39"/>
      <c r="M5" s="39"/>
      <c r="N5" s="39"/>
      <c r="Q5" s="2"/>
      <c r="R5" s="2"/>
    </row>
    <row r="6" spans="1:18" ht="15.75" thickBot="1" x14ac:dyDescent="0.3">
      <c r="A6" s="2"/>
      <c r="B6" s="2"/>
      <c r="C6" s="2"/>
      <c r="D6" s="2"/>
      <c r="E6" s="2"/>
      <c r="F6" s="2"/>
      <c r="G6" s="2"/>
      <c r="H6" s="2"/>
      <c r="I6" s="39"/>
      <c r="J6" s="39"/>
      <c r="K6" s="39"/>
      <c r="L6" s="39"/>
      <c r="M6" s="39"/>
      <c r="N6" s="39"/>
      <c r="Q6" s="2"/>
      <c r="R6" s="2"/>
    </row>
    <row r="7" spans="1:18" x14ac:dyDescent="0.25">
      <c r="A7" s="67" t="s">
        <v>16</v>
      </c>
      <c r="B7" s="115" t="s">
        <v>17</v>
      </c>
      <c r="C7" s="115"/>
      <c r="D7" s="68"/>
      <c r="E7" s="115" t="s">
        <v>18</v>
      </c>
      <c r="F7" s="116"/>
      <c r="G7" s="2"/>
      <c r="H7" s="3"/>
      <c r="I7" s="40" t="s">
        <v>2</v>
      </c>
      <c r="J7" s="40" t="s">
        <v>3</v>
      </c>
      <c r="K7" s="40" t="s">
        <v>4</v>
      </c>
      <c r="L7" s="40" t="s">
        <v>5</v>
      </c>
      <c r="M7" s="40" t="s">
        <v>6</v>
      </c>
      <c r="N7" s="40" t="s">
        <v>7</v>
      </c>
      <c r="O7" s="2"/>
      <c r="P7" s="2"/>
      <c r="Q7" s="2"/>
      <c r="R7" s="2"/>
    </row>
    <row r="8" spans="1:18" x14ac:dyDescent="0.25">
      <c r="A8" s="69" t="s">
        <v>25</v>
      </c>
      <c r="B8" s="29">
        <v>1.5</v>
      </c>
      <c r="C8" s="76" t="s">
        <v>26</v>
      </c>
      <c r="D8" s="77"/>
      <c r="E8" s="77">
        <f>B8*25.4</f>
        <v>38.099999999999994</v>
      </c>
      <c r="F8" s="78" t="s">
        <v>27</v>
      </c>
      <c r="G8" s="2"/>
      <c r="H8" s="3"/>
      <c r="I8" s="46" t="s">
        <v>9</v>
      </c>
      <c r="J8" s="41" t="s">
        <v>10</v>
      </c>
      <c r="K8" s="41">
        <v>449.6</v>
      </c>
      <c r="L8" s="41">
        <v>89.9</v>
      </c>
      <c r="M8" s="41">
        <v>33.700000000000003</v>
      </c>
      <c r="N8" s="41"/>
      <c r="O8" s="2"/>
      <c r="P8" s="2"/>
      <c r="Q8" s="2"/>
      <c r="R8" s="2"/>
    </row>
    <row r="9" spans="1:18" x14ac:dyDescent="0.25">
      <c r="A9" s="69" t="s">
        <v>28</v>
      </c>
      <c r="B9" s="29">
        <v>0.75</v>
      </c>
      <c r="C9" s="76" t="s">
        <v>29</v>
      </c>
      <c r="D9" s="77"/>
      <c r="E9" s="77">
        <f>B9*25.4*25.4</f>
        <v>483.86999999999989</v>
      </c>
      <c r="F9" s="78" t="s">
        <v>30</v>
      </c>
      <c r="G9" s="2"/>
      <c r="H9" s="3"/>
      <c r="I9" s="46"/>
      <c r="J9" s="41" t="s">
        <v>12</v>
      </c>
      <c r="K9" s="41">
        <v>2000</v>
      </c>
      <c r="L9" s="41">
        <v>400</v>
      </c>
      <c r="M9" s="41">
        <v>150</v>
      </c>
      <c r="N9" s="41"/>
      <c r="O9" s="2"/>
      <c r="P9" s="2"/>
      <c r="Q9" s="2"/>
      <c r="R9" s="2"/>
    </row>
    <row r="10" spans="1:18" x14ac:dyDescent="0.25">
      <c r="A10" s="69" t="s">
        <v>36</v>
      </c>
      <c r="B10" s="29">
        <v>80</v>
      </c>
      <c r="C10" s="76" t="s">
        <v>14</v>
      </c>
      <c r="D10" s="77"/>
      <c r="E10" s="79">
        <f>B10*0.006894757</f>
        <v>0.55158056</v>
      </c>
      <c r="F10" s="78" t="s">
        <v>37</v>
      </c>
      <c r="G10" s="2"/>
      <c r="H10" s="3"/>
      <c r="I10" s="46" t="s">
        <v>13</v>
      </c>
      <c r="J10" s="41" t="s">
        <v>14</v>
      </c>
      <c r="K10" s="41">
        <v>58</v>
      </c>
      <c r="L10" s="41">
        <v>58</v>
      </c>
      <c r="M10" s="41">
        <v>43</v>
      </c>
      <c r="N10" s="41">
        <v>12</v>
      </c>
      <c r="O10" s="2"/>
      <c r="P10" s="2"/>
      <c r="Q10" s="2"/>
      <c r="R10" s="2"/>
    </row>
    <row r="11" spans="1:18" x14ac:dyDescent="0.25">
      <c r="A11" s="69" t="s">
        <v>38</v>
      </c>
      <c r="B11" s="29">
        <v>30</v>
      </c>
      <c r="C11" s="76" t="s">
        <v>14</v>
      </c>
      <c r="D11" s="77"/>
      <c r="E11" s="79">
        <f>B11*0.006894757</f>
        <v>0.20684270999999999</v>
      </c>
      <c r="F11" s="78" t="s">
        <v>37</v>
      </c>
      <c r="G11" s="2"/>
      <c r="H11" s="3"/>
      <c r="I11" s="46"/>
      <c r="J11" s="41" t="s">
        <v>15</v>
      </c>
      <c r="K11" s="41">
        <v>40</v>
      </c>
      <c r="L11" s="41">
        <v>40</v>
      </c>
      <c r="M11" s="41">
        <v>29.6</v>
      </c>
      <c r="N11" s="41">
        <v>8.3000000000000007</v>
      </c>
      <c r="O11" s="2"/>
      <c r="P11" s="2"/>
      <c r="Q11" s="2"/>
      <c r="R11" s="2"/>
    </row>
    <row r="12" spans="1:18" ht="15.75" thickBot="1" x14ac:dyDescent="0.3">
      <c r="A12" s="70" t="s">
        <v>39</v>
      </c>
      <c r="B12" s="71">
        <f>((B8/2)^2)*3.1416</f>
        <v>1.76715</v>
      </c>
      <c r="C12" s="72" t="s">
        <v>29</v>
      </c>
      <c r="D12" s="73"/>
      <c r="E12" s="74">
        <f>((E8/2)^2)*3.1416</f>
        <v>1140.0944939999997</v>
      </c>
      <c r="F12" s="75" t="s">
        <v>30</v>
      </c>
      <c r="G12" s="2"/>
      <c r="H12" s="3"/>
      <c r="I12" s="41" t="s">
        <v>19</v>
      </c>
      <c r="J12" s="41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2"/>
      <c r="P12" s="2"/>
      <c r="Q12" s="2"/>
      <c r="R12" s="2"/>
    </row>
    <row r="13" spans="1:18" ht="15.75" thickBot="1" x14ac:dyDescent="0.3">
      <c r="A13" s="5"/>
      <c r="B13" s="5"/>
      <c r="C13" s="6"/>
      <c r="D13" s="5"/>
      <c r="E13" s="5"/>
      <c r="F13" s="6"/>
      <c r="G13" s="5"/>
      <c r="H13" s="7"/>
      <c r="I13" s="42"/>
      <c r="J13" s="43"/>
      <c r="K13" s="43"/>
      <c r="L13" s="43"/>
      <c r="M13" s="43"/>
      <c r="N13" s="43"/>
      <c r="O13" s="2"/>
      <c r="P13" s="2"/>
      <c r="Q13" s="2"/>
      <c r="R13" s="2"/>
    </row>
    <row r="14" spans="1:18" ht="34.5" customHeight="1" thickBot="1" x14ac:dyDescent="0.3">
      <c r="A14" s="57" t="s">
        <v>41</v>
      </c>
      <c r="B14" s="58" t="s">
        <v>3</v>
      </c>
      <c r="C14" s="59" t="s">
        <v>42</v>
      </c>
      <c r="D14" s="60" t="s">
        <v>43</v>
      </c>
      <c r="E14" s="50" t="s">
        <v>62</v>
      </c>
      <c r="F14" s="51" t="s">
        <v>61</v>
      </c>
      <c r="G14" s="5"/>
      <c r="H14" s="6"/>
      <c r="I14" s="39"/>
      <c r="J14" s="39"/>
      <c r="K14" s="39"/>
      <c r="L14" s="39"/>
      <c r="M14" s="39"/>
      <c r="N14" s="39"/>
      <c r="O14" s="2"/>
      <c r="P14" s="2"/>
      <c r="Q14" s="2"/>
      <c r="R14" s="2"/>
    </row>
    <row r="15" spans="1:18" x14ac:dyDescent="0.25">
      <c r="A15" s="117" t="s">
        <v>9</v>
      </c>
      <c r="B15" s="61" t="s">
        <v>10</v>
      </c>
      <c r="C15" s="62">
        <f>B10*B12</f>
        <v>141.37200000000001</v>
      </c>
      <c r="D15" s="63">
        <f>B12*B11</f>
        <v>53.014499999999998</v>
      </c>
      <c r="E15" s="118" t="str">
        <f>IF(C15&gt;450,"e",IF(C15&gt;90,"d", IF(C15&gt;34,"c",  IF(C15&gt;0,"b"))))</f>
        <v>d</v>
      </c>
      <c r="F15" s="120" t="str">
        <f>IF(D15&gt;450,"e",IF(D15&gt;90,"d", IF(D15&gt;34,"c",  IF(D15&gt;0,"b"))))</f>
        <v>c</v>
      </c>
      <c r="G15" s="5"/>
      <c r="H15" s="6"/>
      <c r="I15" s="40" t="s">
        <v>31</v>
      </c>
      <c r="J15" s="40" t="s">
        <v>3</v>
      </c>
      <c r="K15" s="40" t="s">
        <v>32</v>
      </c>
      <c r="L15" s="40" t="s">
        <v>33</v>
      </c>
      <c r="M15" s="40" t="s">
        <v>34</v>
      </c>
      <c r="N15" s="40" t="s">
        <v>35</v>
      </c>
      <c r="O15" s="2"/>
      <c r="P15" s="2"/>
      <c r="Q15" s="32"/>
      <c r="R15" s="2"/>
    </row>
    <row r="16" spans="1:18" ht="15.75" thickBot="1" x14ac:dyDescent="0.3">
      <c r="A16" s="117"/>
      <c r="B16" s="61" t="s">
        <v>12</v>
      </c>
      <c r="C16" s="62">
        <f>E10*E12</f>
        <v>628.85395945343646</v>
      </c>
      <c r="D16" s="63">
        <f>E11*E12</f>
        <v>235.82023479503866</v>
      </c>
      <c r="E16" s="119"/>
      <c r="F16" s="121"/>
      <c r="G16" s="5"/>
      <c r="H16" s="6"/>
      <c r="I16" s="114" t="s">
        <v>9</v>
      </c>
      <c r="J16" s="41" t="s">
        <v>10</v>
      </c>
      <c r="K16" s="44">
        <f>K17*0.22</f>
        <v>14.3</v>
      </c>
      <c r="L16" s="44">
        <f t="shared" ref="L16:N16" si="0">L17*0.22</f>
        <v>30.8</v>
      </c>
      <c r="M16" s="44">
        <f t="shared" si="0"/>
        <v>30.8</v>
      </c>
      <c r="N16" s="44">
        <f t="shared" si="0"/>
        <v>28.6</v>
      </c>
      <c r="O16" s="2"/>
      <c r="P16" s="2"/>
      <c r="Q16" s="7"/>
      <c r="R16" s="2"/>
    </row>
    <row r="17" spans="1:18" x14ac:dyDescent="0.25">
      <c r="A17" s="117" t="s">
        <v>40</v>
      </c>
      <c r="B17" s="61" t="s">
        <v>14</v>
      </c>
      <c r="C17" s="62">
        <f>C15/B9</f>
        <v>188.49600000000001</v>
      </c>
      <c r="D17" s="63">
        <f>D15/B9</f>
        <v>70.685999999999993</v>
      </c>
      <c r="E17" s="123" t="str">
        <f>IF(C17&gt;58,"d/e",IF(C17&gt;43,"c", IF(C17&gt;12,"b",  IF(C17&gt;0,"b"))))</f>
        <v>d/e</v>
      </c>
      <c r="F17" s="124" t="str">
        <f>IF(D17&gt;58,"d/e",IF(D17&gt;43,"c", IF(D17&gt;29.6,"c",  IF(D17&gt;0,"b"))))</f>
        <v>d/e</v>
      </c>
      <c r="G17" s="5"/>
      <c r="H17" s="6"/>
      <c r="I17" s="114"/>
      <c r="J17" s="41" t="s">
        <v>12</v>
      </c>
      <c r="K17" s="45">
        <v>65</v>
      </c>
      <c r="L17" s="45">
        <v>140</v>
      </c>
      <c r="M17" s="45">
        <v>140</v>
      </c>
      <c r="N17" s="45">
        <v>130</v>
      </c>
      <c r="O17" s="32"/>
      <c r="P17" s="32"/>
      <c r="Q17" s="31"/>
      <c r="R17" s="2"/>
    </row>
    <row r="18" spans="1:18" ht="15.75" thickBot="1" x14ac:dyDescent="0.3">
      <c r="A18" s="122"/>
      <c r="B18" s="64" t="s">
        <v>15</v>
      </c>
      <c r="C18" s="65">
        <f>C16/E9*100</f>
        <v>129.9634115472</v>
      </c>
      <c r="D18" s="66">
        <f>D16/E9*100</f>
        <v>48.736279330199991</v>
      </c>
      <c r="E18" s="119"/>
      <c r="F18" s="121"/>
      <c r="G18" s="5"/>
      <c r="H18" s="6"/>
      <c r="I18" s="114" t="s">
        <v>13</v>
      </c>
      <c r="J18" s="41" t="s">
        <v>14</v>
      </c>
      <c r="K18" s="45">
        <f>K19*1.45</f>
        <v>159.5</v>
      </c>
      <c r="L18" s="45">
        <f t="shared" ref="L18:N18" si="1">L19*1.45</f>
        <v>275.5</v>
      </c>
      <c r="M18" s="45">
        <f t="shared" si="1"/>
        <v>174</v>
      </c>
      <c r="N18" s="45">
        <f t="shared" si="1"/>
        <v>304.5</v>
      </c>
      <c r="O18" s="7"/>
      <c r="P18" s="7"/>
      <c r="Q18" s="6"/>
      <c r="R18" s="2"/>
    </row>
    <row r="19" spans="1:18" ht="15.75" thickBot="1" x14ac:dyDescent="0.3">
      <c r="A19" s="33"/>
      <c r="B19" s="6"/>
      <c r="C19" s="31"/>
      <c r="D19" s="31"/>
      <c r="E19" s="34"/>
      <c r="F19" s="34"/>
      <c r="G19" s="5"/>
      <c r="H19" s="6"/>
      <c r="I19" s="114"/>
      <c r="J19" s="41" t="s">
        <v>15</v>
      </c>
      <c r="K19" s="45">
        <v>110</v>
      </c>
      <c r="L19" s="45">
        <v>190</v>
      </c>
      <c r="M19" s="45">
        <v>120</v>
      </c>
      <c r="N19" s="45">
        <v>210</v>
      </c>
      <c r="O19" s="7"/>
      <c r="P19" s="7"/>
      <c r="Q19" s="6"/>
      <c r="R19" s="2"/>
    </row>
    <row r="20" spans="1:18" x14ac:dyDescent="0.25">
      <c r="C20" s="111" t="s">
        <v>59</v>
      </c>
      <c r="D20" s="48" t="s">
        <v>32</v>
      </c>
      <c r="E20" s="52" t="str">
        <f>IF(C17&lt;K18,"Acceptable","-")</f>
        <v>-</v>
      </c>
      <c r="F20" s="53" t="str">
        <f>IF(D17&lt;K18,"Acceptable","-")</f>
        <v>Acceptable</v>
      </c>
      <c r="G20" s="5"/>
      <c r="H20" s="6"/>
      <c r="I20" s="34"/>
      <c r="J20" s="6"/>
      <c r="K20" s="35"/>
      <c r="L20" s="35"/>
      <c r="M20" s="35"/>
      <c r="N20" s="35"/>
      <c r="O20" s="7"/>
      <c r="P20" s="7"/>
      <c r="Q20" s="6"/>
      <c r="R20" s="2"/>
    </row>
    <row r="21" spans="1:18" x14ac:dyDescent="0.25">
      <c r="C21" s="112"/>
      <c r="D21" s="47" t="s">
        <v>33</v>
      </c>
      <c r="E21" s="36" t="str">
        <f>IF(C17&lt;L18,"Acceptable","-")</f>
        <v>Acceptable</v>
      </c>
      <c r="F21" s="54" t="str">
        <f>IF(D17&lt;L18,"Acceptable","-")</f>
        <v>Acceptable</v>
      </c>
      <c r="G21" s="5"/>
      <c r="H21" s="6"/>
      <c r="I21" s="34"/>
      <c r="J21" s="6"/>
      <c r="K21" s="35"/>
      <c r="L21" s="35"/>
      <c r="M21" s="35"/>
      <c r="N21" s="35"/>
      <c r="O21" s="7"/>
      <c r="P21" s="7"/>
      <c r="Q21" s="6"/>
      <c r="R21" s="2"/>
    </row>
    <row r="22" spans="1:18" x14ac:dyDescent="0.25">
      <c r="C22" s="112"/>
      <c r="D22" s="47" t="s">
        <v>34</v>
      </c>
      <c r="E22" s="36" t="str">
        <f>IF(C17&lt;M18,"Acceptable","-")</f>
        <v>-</v>
      </c>
      <c r="F22" s="54" t="str">
        <f>IF(D17&lt;M18,"Acceptable","-")</f>
        <v>Acceptable</v>
      </c>
      <c r="G22" s="5"/>
      <c r="H22" s="6"/>
      <c r="I22" s="34"/>
      <c r="J22" s="6"/>
      <c r="K22" s="35"/>
      <c r="L22" s="35"/>
      <c r="M22" s="35"/>
      <c r="N22" s="35"/>
      <c r="O22" s="7"/>
      <c r="P22" s="7"/>
      <c r="Q22" s="6"/>
      <c r="R22" s="2"/>
    </row>
    <row r="23" spans="1:18" ht="15.75" thickBot="1" x14ac:dyDescent="0.3">
      <c r="C23" s="113"/>
      <c r="D23" s="49" t="s">
        <v>35</v>
      </c>
      <c r="E23" s="55" t="str">
        <f>IF(C17&lt;N18,"Acceptable","-")</f>
        <v>Acceptable</v>
      </c>
      <c r="F23" s="56" t="str">
        <f>IF(D17&lt;N18,"Acceptable","-")</f>
        <v>Acceptable</v>
      </c>
      <c r="G23" s="5"/>
      <c r="H23" s="6"/>
      <c r="I23" s="34"/>
      <c r="J23" s="6"/>
      <c r="K23" s="35"/>
      <c r="L23" s="35"/>
      <c r="M23" s="35"/>
      <c r="N23" s="35"/>
      <c r="O23" s="7"/>
      <c r="P23" s="7"/>
      <c r="Q23" s="6"/>
      <c r="R23" s="2"/>
    </row>
    <row r="24" spans="1:18" x14ac:dyDescent="0.25">
      <c r="A24" s="37"/>
      <c r="B24" s="7"/>
      <c r="C24" s="34"/>
      <c r="D24" s="34"/>
      <c r="E24" s="34"/>
      <c r="F24" s="34"/>
      <c r="G24" s="5"/>
      <c r="H24" s="6"/>
      <c r="I24" s="34"/>
      <c r="J24" s="6"/>
      <c r="K24" s="35"/>
      <c r="L24" s="35"/>
      <c r="M24" s="35"/>
      <c r="N24" s="35"/>
      <c r="O24" s="7"/>
      <c r="P24" s="7"/>
      <c r="Q24" s="6"/>
      <c r="R24" s="2"/>
    </row>
    <row r="25" spans="1:18" ht="15.75" thickBot="1" x14ac:dyDescent="0.3">
      <c r="A25" s="37"/>
      <c r="B25" s="7"/>
      <c r="C25" s="34"/>
      <c r="D25" s="34"/>
      <c r="E25" s="34"/>
      <c r="F25" s="34"/>
      <c r="G25" s="5"/>
      <c r="H25" s="6"/>
      <c r="I25" s="34"/>
      <c r="J25" s="6"/>
      <c r="K25" s="35"/>
      <c r="L25" s="35"/>
      <c r="M25" s="35"/>
      <c r="N25" s="35"/>
      <c r="O25" s="7"/>
      <c r="P25" s="7"/>
      <c r="Q25" s="6"/>
      <c r="R25" s="2"/>
    </row>
    <row r="26" spans="1:18" x14ac:dyDescent="0.25">
      <c r="A26" s="33"/>
      <c r="B26" s="80"/>
      <c r="C26" s="81"/>
      <c r="D26" s="81"/>
      <c r="E26" s="81"/>
      <c r="F26" s="82"/>
      <c r="G26" s="28"/>
      <c r="H26" s="83"/>
      <c r="I26" s="84"/>
      <c r="J26" s="83"/>
      <c r="K26" s="83"/>
      <c r="L26" s="83"/>
      <c r="M26" s="85" t="s">
        <v>4</v>
      </c>
      <c r="N26" s="86" t="s">
        <v>5</v>
      </c>
      <c r="O26" s="87" t="s">
        <v>6</v>
      </c>
      <c r="P26" s="8" t="s">
        <v>7</v>
      </c>
      <c r="Q26" s="83"/>
      <c r="R26" s="88"/>
    </row>
    <row r="27" spans="1:18" x14ac:dyDescent="0.25">
      <c r="A27" s="5"/>
      <c r="B27" s="89"/>
      <c r="C27" s="6"/>
      <c r="D27" s="5"/>
      <c r="E27" s="10"/>
      <c r="F27" s="6"/>
      <c r="G27" s="5"/>
      <c r="H27" s="6"/>
      <c r="I27" s="30"/>
      <c r="J27" s="6"/>
      <c r="K27" s="6"/>
      <c r="L27" s="6"/>
      <c r="M27" s="6"/>
      <c r="N27" s="6"/>
      <c r="O27" s="6"/>
      <c r="P27" s="6"/>
      <c r="Q27" s="6"/>
      <c r="R27" s="90"/>
    </row>
    <row r="28" spans="1:18" x14ac:dyDescent="0.25">
      <c r="A28" s="2"/>
      <c r="B28" s="26"/>
      <c r="C28" s="5"/>
      <c r="D28" s="11" t="s">
        <v>44</v>
      </c>
      <c r="E28" s="12"/>
      <c r="F28" s="12"/>
      <c r="G28" s="12"/>
      <c r="H28" s="12"/>
      <c r="I28" s="13"/>
      <c r="J28" s="5"/>
      <c r="K28" s="5"/>
      <c r="L28" s="5"/>
      <c r="M28" s="11" t="s">
        <v>45</v>
      </c>
      <c r="N28" s="12"/>
      <c r="O28" s="12"/>
      <c r="P28" s="12"/>
      <c r="Q28" s="12"/>
      <c r="R28" s="91"/>
    </row>
    <row r="29" spans="1:18" x14ac:dyDescent="0.25">
      <c r="A29" s="2"/>
      <c r="B29" s="92" t="s">
        <v>25</v>
      </c>
      <c r="C29" s="14" t="s">
        <v>46</v>
      </c>
      <c r="D29" s="14" t="s">
        <v>47</v>
      </c>
      <c r="E29" s="14" t="s">
        <v>48</v>
      </c>
      <c r="F29" s="14" t="s">
        <v>49</v>
      </c>
      <c r="G29" s="14" t="s">
        <v>50</v>
      </c>
      <c r="H29" s="14" t="s">
        <v>51</v>
      </c>
      <c r="I29" s="14" t="s">
        <v>52</v>
      </c>
      <c r="J29" s="5"/>
      <c r="K29" s="14" t="s">
        <v>25</v>
      </c>
      <c r="L29" s="14" t="s">
        <v>46</v>
      </c>
      <c r="M29" s="14" t="s">
        <v>53</v>
      </c>
      <c r="N29" s="14" t="s">
        <v>54</v>
      </c>
      <c r="O29" s="14" t="s">
        <v>55</v>
      </c>
      <c r="P29" s="14" t="s">
        <v>56</v>
      </c>
      <c r="Q29" s="14" t="s">
        <v>57</v>
      </c>
      <c r="R29" s="93" t="s">
        <v>58</v>
      </c>
    </row>
    <row r="30" spans="1:18" x14ac:dyDescent="0.25">
      <c r="A30" s="2"/>
      <c r="B30" s="94">
        <v>0.75</v>
      </c>
      <c r="C30" s="16">
        <f t="shared" ref="C30" si="2">3.14159*(B30/2)^2</f>
        <v>0.44178609375</v>
      </c>
      <c r="D30" s="17">
        <f>C30*15</f>
        <v>6.6267914062499997</v>
      </c>
      <c r="E30" s="17">
        <f>C30*30</f>
        <v>13.253582812499999</v>
      </c>
      <c r="F30" s="17">
        <f>C30*45</f>
        <v>19.880374218749999</v>
      </c>
      <c r="G30" s="18">
        <f t="shared" ref="G30:G39" si="3">C30*80</f>
        <v>35.342887500000003</v>
      </c>
      <c r="H30" s="18">
        <f t="shared" ref="H30:H39" si="4">C30*100</f>
        <v>44.178609375000001</v>
      </c>
      <c r="I30" s="18">
        <f>C30*150</f>
        <v>66.267914062499997</v>
      </c>
      <c r="J30" s="5"/>
      <c r="K30" s="19">
        <v>20</v>
      </c>
      <c r="L30" s="16">
        <f t="shared" ref="L30:L31" si="5">3.14159*(K30/2)^2</f>
        <v>314.15899999999999</v>
      </c>
      <c r="M30" s="17">
        <f t="shared" ref="M30:M39" si="6">$L30*1/10</f>
        <v>31.415900000000001</v>
      </c>
      <c r="N30" s="17">
        <f t="shared" ref="N30:N39" si="7">$L30*2/10</f>
        <v>62.831800000000001</v>
      </c>
      <c r="O30" s="17">
        <f t="shared" ref="O30:O39" si="8">$L30*3/10</f>
        <v>94.247699999999995</v>
      </c>
      <c r="P30" s="18">
        <f t="shared" ref="P30:P39" si="9">$L30*5.5/10</f>
        <v>172.78744999999998</v>
      </c>
      <c r="Q30" s="18">
        <f t="shared" ref="Q30:Q39" si="10">$L30*7/10</f>
        <v>219.91129999999998</v>
      </c>
      <c r="R30" s="95">
        <f t="shared" ref="R30:R39" si="11">$L30*10/10</f>
        <v>314.15899999999999</v>
      </c>
    </row>
    <row r="31" spans="1:18" x14ac:dyDescent="0.25">
      <c r="A31" s="2"/>
      <c r="B31" s="96">
        <v>1</v>
      </c>
      <c r="C31" s="16">
        <f>3.14159*(B31/2)^2</f>
        <v>0.78539749999999997</v>
      </c>
      <c r="D31" s="17">
        <f t="shared" ref="D31:D39" si="12">C31*15</f>
        <v>11.780962499999999</v>
      </c>
      <c r="E31" s="19">
        <f t="shared" ref="E31:E39" si="13">C31*30</f>
        <v>23.561924999999999</v>
      </c>
      <c r="F31" s="20">
        <f t="shared" ref="F31:F39" si="14">C31*45</f>
        <v>35.342887499999996</v>
      </c>
      <c r="G31" s="18">
        <f t="shared" si="3"/>
        <v>62.831800000000001</v>
      </c>
      <c r="H31" s="18">
        <f t="shared" si="4"/>
        <v>78.539749999999998</v>
      </c>
      <c r="I31" s="21">
        <f t="shared" ref="I31:I39" si="15">C31*150</f>
        <v>117.809625</v>
      </c>
      <c r="J31" s="5"/>
      <c r="K31" s="19">
        <v>25</v>
      </c>
      <c r="L31" s="16">
        <f t="shared" si="5"/>
        <v>490.87343749999997</v>
      </c>
      <c r="M31" s="17">
        <f t="shared" si="6"/>
        <v>49.087343749999995</v>
      </c>
      <c r="N31" s="17">
        <f t="shared" si="7"/>
        <v>98.17468749999999</v>
      </c>
      <c r="O31" s="17">
        <f t="shared" si="8"/>
        <v>147.26203125000001</v>
      </c>
      <c r="P31" s="18">
        <f t="shared" si="9"/>
        <v>269.98039062499998</v>
      </c>
      <c r="Q31" s="18">
        <f t="shared" si="10"/>
        <v>343.61140624999996</v>
      </c>
      <c r="R31" s="97">
        <f t="shared" si="11"/>
        <v>490.87343750000002</v>
      </c>
    </row>
    <row r="32" spans="1:18" x14ac:dyDescent="0.25">
      <c r="A32" s="2"/>
      <c r="B32" s="96">
        <v>1.25</v>
      </c>
      <c r="C32" s="16">
        <f>3.14159*(B32/2)^2</f>
        <v>1.22718359375</v>
      </c>
      <c r="D32" s="17">
        <f t="shared" si="12"/>
        <v>18.407753906250001</v>
      </c>
      <c r="E32" s="20">
        <f t="shared" si="13"/>
        <v>36.815507812500002</v>
      </c>
      <c r="F32" s="20">
        <f t="shared" si="14"/>
        <v>55.223261718749995</v>
      </c>
      <c r="G32" s="21">
        <f t="shared" si="3"/>
        <v>98.174687500000005</v>
      </c>
      <c r="H32" s="21">
        <f t="shared" si="4"/>
        <v>122.71835937499999</v>
      </c>
      <c r="I32" s="21">
        <f t="shared" si="15"/>
        <v>184.07753906249999</v>
      </c>
      <c r="J32" s="5"/>
      <c r="K32" s="19">
        <v>32</v>
      </c>
      <c r="L32" s="16">
        <f>3.14159*(K32/2)^2</f>
        <v>804.24703999999997</v>
      </c>
      <c r="M32" s="17">
        <f t="shared" si="6"/>
        <v>80.424703999999991</v>
      </c>
      <c r="N32" s="18">
        <f t="shared" si="7"/>
        <v>160.84940799999998</v>
      </c>
      <c r="O32" s="18">
        <f t="shared" si="8"/>
        <v>241.27411199999997</v>
      </c>
      <c r="P32" s="21">
        <f t="shared" si="9"/>
        <v>442.33587199999999</v>
      </c>
      <c r="Q32" s="21">
        <f t="shared" si="10"/>
        <v>562.97292799999991</v>
      </c>
      <c r="R32" s="97">
        <f t="shared" si="11"/>
        <v>804.24703999999997</v>
      </c>
    </row>
    <row r="33" spans="1:18" x14ac:dyDescent="0.25">
      <c r="A33" s="2"/>
      <c r="B33" s="96">
        <v>1.5</v>
      </c>
      <c r="C33" s="16">
        <f t="shared" ref="C33:C34" si="16">3.14159*(B33/2)^2</f>
        <v>1.767144375</v>
      </c>
      <c r="D33" s="17">
        <f t="shared" si="12"/>
        <v>26.507165624999999</v>
      </c>
      <c r="E33" s="20">
        <f t="shared" si="13"/>
        <v>53.014331249999998</v>
      </c>
      <c r="F33" s="20">
        <f t="shared" si="14"/>
        <v>79.521496874999997</v>
      </c>
      <c r="G33" s="21">
        <f t="shared" si="3"/>
        <v>141.37155000000001</v>
      </c>
      <c r="H33" s="21">
        <f t="shared" si="4"/>
        <v>176.7144375</v>
      </c>
      <c r="I33" s="21">
        <f t="shared" si="15"/>
        <v>265.07165624999999</v>
      </c>
      <c r="J33" s="5"/>
      <c r="K33" s="19">
        <v>40</v>
      </c>
      <c r="L33" s="16">
        <f>3.14159*(K33/2)^2</f>
        <v>1256.636</v>
      </c>
      <c r="M33" s="17">
        <f t="shared" si="6"/>
        <v>125.6636</v>
      </c>
      <c r="N33" s="18">
        <f t="shared" si="7"/>
        <v>251.3272</v>
      </c>
      <c r="O33" s="18">
        <f t="shared" si="8"/>
        <v>376.99079999999998</v>
      </c>
      <c r="P33" s="21">
        <f t="shared" si="9"/>
        <v>691.14979999999991</v>
      </c>
      <c r="Q33" s="21">
        <f t="shared" si="10"/>
        <v>879.64519999999993</v>
      </c>
      <c r="R33" s="97">
        <f t="shared" si="11"/>
        <v>1256.636</v>
      </c>
    </row>
    <row r="34" spans="1:18" x14ac:dyDescent="0.25">
      <c r="A34" s="2"/>
      <c r="B34" s="96">
        <v>2</v>
      </c>
      <c r="C34" s="16">
        <f t="shared" si="16"/>
        <v>3.1415899999999999</v>
      </c>
      <c r="D34" s="18">
        <f t="shared" si="12"/>
        <v>47.123849999999997</v>
      </c>
      <c r="E34" s="20">
        <f t="shared" si="13"/>
        <v>94.247699999999995</v>
      </c>
      <c r="F34" s="20">
        <f t="shared" si="14"/>
        <v>141.37154999999998</v>
      </c>
      <c r="G34" s="21">
        <f t="shared" si="3"/>
        <v>251.3272</v>
      </c>
      <c r="H34" s="21">
        <f t="shared" si="4"/>
        <v>314.15899999999999</v>
      </c>
      <c r="I34" s="21">
        <f t="shared" si="15"/>
        <v>471.23849999999999</v>
      </c>
      <c r="J34" s="5"/>
      <c r="K34" s="15">
        <v>50</v>
      </c>
      <c r="L34" s="16">
        <f t="shared" ref="L34:L39" si="17">3.14159*(K34/2)^2</f>
        <v>1963.4937499999999</v>
      </c>
      <c r="M34" s="18">
        <f t="shared" si="6"/>
        <v>196.34937499999998</v>
      </c>
      <c r="N34" s="18">
        <f t="shared" si="7"/>
        <v>392.69874999999996</v>
      </c>
      <c r="O34" s="21">
        <f t="shared" si="8"/>
        <v>589.04812500000003</v>
      </c>
      <c r="P34" s="21">
        <f t="shared" si="9"/>
        <v>1079.9215624999999</v>
      </c>
      <c r="Q34" s="21">
        <f t="shared" si="10"/>
        <v>1374.4456249999998</v>
      </c>
      <c r="R34" s="97">
        <f t="shared" si="11"/>
        <v>1963.4937500000001</v>
      </c>
    </row>
    <row r="35" spans="1:18" x14ac:dyDescent="0.25">
      <c r="A35" s="2"/>
      <c r="B35" s="96">
        <v>2.5</v>
      </c>
      <c r="C35" s="16">
        <f>3.14159*(B35/2)^2</f>
        <v>4.9087343749999999</v>
      </c>
      <c r="D35" s="18">
        <f t="shared" si="12"/>
        <v>73.631015625000003</v>
      </c>
      <c r="E35" s="22">
        <f t="shared" si="13"/>
        <v>147.26203125000001</v>
      </c>
      <c r="F35" s="22">
        <f t="shared" si="14"/>
        <v>220.89304687499998</v>
      </c>
      <c r="G35" s="21">
        <f t="shared" si="3"/>
        <v>392.69875000000002</v>
      </c>
      <c r="H35" s="23">
        <f t="shared" si="4"/>
        <v>490.87343749999997</v>
      </c>
      <c r="I35" s="23">
        <f t="shared" si="15"/>
        <v>736.31015624999998</v>
      </c>
      <c r="J35" s="5"/>
      <c r="K35" s="4">
        <v>63</v>
      </c>
      <c r="L35" s="16">
        <f t="shared" si="17"/>
        <v>3117.2426774999999</v>
      </c>
      <c r="M35" s="18">
        <f t="shared" si="6"/>
        <v>311.72426774999997</v>
      </c>
      <c r="N35" s="21">
        <f t="shared" si="7"/>
        <v>623.44853549999993</v>
      </c>
      <c r="O35" s="21">
        <f t="shared" si="8"/>
        <v>935.1728032499999</v>
      </c>
      <c r="P35" s="21">
        <f t="shared" si="9"/>
        <v>1714.4834726249999</v>
      </c>
      <c r="Q35" s="23">
        <f t="shared" si="10"/>
        <v>2182.0698742499999</v>
      </c>
      <c r="R35" s="98">
        <f t="shared" si="11"/>
        <v>3117.2426774999999</v>
      </c>
    </row>
    <row r="36" spans="1:18" x14ac:dyDescent="0.25">
      <c r="A36" s="2"/>
      <c r="B36" s="96">
        <v>3</v>
      </c>
      <c r="C36" s="16">
        <f>3.14159*(B36/2)^2</f>
        <v>7.0685775</v>
      </c>
      <c r="D36" s="21">
        <f t="shared" si="12"/>
        <v>106.0286625</v>
      </c>
      <c r="E36" s="22">
        <f t="shared" si="13"/>
        <v>212.05732499999999</v>
      </c>
      <c r="F36" s="22">
        <f t="shared" si="14"/>
        <v>318.08598749999999</v>
      </c>
      <c r="G36" s="23">
        <f t="shared" si="3"/>
        <v>565.48620000000005</v>
      </c>
      <c r="H36" s="23">
        <f t="shared" si="4"/>
        <v>706.85775000000001</v>
      </c>
      <c r="I36" s="23">
        <f t="shared" si="15"/>
        <v>1060.286625</v>
      </c>
      <c r="J36" s="5"/>
      <c r="K36" s="4">
        <v>80</v>
      </c>
      <c r="L36" s="16">
        <f t="shared" si="17"/>
        <v>5026.5439999999999</v>
      </c>
      <c r="M36" s="21">
        <f t="shared" si="6"/>
        <v>502.65440000000001</v>
      </c>
      <c r="N36" s="21">
        <f t="shared" si="7"/>
        <v>1005.3088</v>
      </c>
      <c r="O36" s="21">
        <f t="shared" si="8"/>
        <v>1507.9631999999999</v>
      </c>
      <c r="P36" s="23">
        <f t="shared" si="9"/>
        <v>2764.5991999999997</v>
      </c>
      <c r="Q36" s="23">
        <f t="shared" si="10"/>
        <v>3518.5807999999997</v>
      </c>
      <c r="R36" s="98">
        <f t="shared" si="11"/>
        <v>5026.5439999999999</v>
      </c>
    </row>
    <row r="37" spans="1:18" x14ac:dyDescent="0.25">
      <c r="A37" s="2"/>
      <c r="B37" s="96">
        <v>4</v>
      </c>
      <c r="C37" s="16">
        <f>3.14159*(B37/2)^2</f>
        <v>12.56636</v>
      </c>
      <c r="D37" s="21">
        <f t="shared" si="12"/>
        <v>188.49539999999999</v>
      </c>
      <c r="E37" s="22">
        <f t="shared" si="13"/>
        <v>376.99079999999998</v>
      </c>
      <c r="F37" s="24">
        <f t="shared" si="14"/>
        <v>565.48619999999994</v>
      </c>
      <c r="G37" s="23">
        <f t="shared" si="3"/>
        <v>1005.3088</v>
      </c>
      <c r="H37" s="23">
        <f t="shared" si="4"/>
        <v>1256.636</v>
      </c>
      <c r="I37" s="23">
        <f t="shared" si="15"/>
        <v>1884.954</v>
      </c>
      <c r="J37" s="5"/>
      <c r="K37" s="4">
        <v>100</v>
      </c>
      <c r="L37" s="16">
        <f t="shared" si="17"/>
        <v>7853.9749999999995</v>
      </c>
      <c r="M37" s="21">
        <f t="shared" si="6"/>
        <v>785.39749999999992</v>
      </c>
      <c r="N37" s="21">
        <f t="shared" si="7"/>
        <v>1570.7949999999998</v>
      </c>
      <c r="O37" s="23">
        <f t="shared" si="8"/>
        <v>2356.1925000000001</v>
      </c>
      <c r="P37" s="23">
        <f t="shared" si="9"/>
        <v>4319.6862499999997</v>
      </c>
      <c r="Q37" s="23">
        <f t="shared" si="10"/>
        <v>5497.7824999999993</v>
      </c>
      <c r="R37" s="98">
        <f t="shared" si="11"/>
        <v>7853.9750000000004</v>
      </c>
    </row>
    <row r="38" spans="1:18" x14ac:dyDescent="0.25">
      <c r="A38" s="2"/>
      <c r="B38" s="96">
        <v>4.5</v>
      </c>
      <c r="C38" s="25">
        <f>3.14159*(B38/2)^2</f>
        <v>15.904299374999999</v>
      </c>
      <c r="D38" s="21">
        <f t="shared" si="12"/>
        <v>238.56449062499999</v>
      </c>
      <c r="E38" s="23">
        <f t="shared" si="13"/>
        <v>477.12898124999998</v>
      </c>
      <c r="F38" s="23">
        <f t="shared" si="14"/>
        <v>715.693471875</v>
      </c>
      <c r="G38" s="23">
        <f t="shared" si="3"/>
        <v>1272.3439499999999</v>
      </c>
      <c r="H38" s="23">
        <f t="shared" si="4"/>
        <v>1590.4299374999998</v>
      </c>
      <c r="I38" s="23">
        <f t="shared" si="15"/>
        <v>2385.6449062500001</v>
      </c>
      <c r="J38" s="5"/>
      <c r="K38" s="4">
        <v>125</v>
      </c>
      <c r="L38" s="16">
        <f t="shared" si="17"/>
        <v>12271.8359375</v>
      </c>
      <c r="M38" s="21">
        <f t="shared" si="6"/>
        <v>1227.18359375</v>
      </c>
      <c r="N38" s="23">
        <f t="shared" si="7"/>
        <v>2454.3671875</v>
      </c>
      <c r="O38" s="23">
        <f t="shared" si="8"/>
        <v>3681.55078125</v>
      </c>
      <c r="P38" s="23">
        <f t="shared" si="9"/>
        <v>6749.509765625</v>
      </c>
      <c r="Q38" s="23">
        <f t="shared" si="10"/>
        <v>8590.28515625</v>
      </c>
      <c r="R38" s="98">
        <f t="shared" si="11"/>
        <v>12271.8359375</v>
      </c>
    </row>
    <row r="39" spans="1:18" ht="15.75" thickBot="1" x14ac:dyDescent="0.3">
      <c r="A39" s="2"/>
      <c r="B39" s="99">
        <v>5</v>
      </c>
      <c r="C39" s="100">
        <f>3.14159*(B39/2)^2</f>
        <v>19.634937499999999</v>
      </c>
      <c r="D39" s="101">
        <f t="shared" si="12"/>
        <v>294.52406250000001</v>
      </c>
      <c r="E39" s="102">
        <f t="shared" si="13"/>
        <v>589.04812500000003</v>
      </c>
      <c r="F39" s="102">
        <f t="shared" si="14"/>
        <v>883.57218749999993</v>
      </c>
      <c r="G39" s="102">
        <f t="shared" si="3"/>
        <v>1570.7950000000001</v>
      </c>
      <c r="H39" s="102">
        <f t="shared" si="4"/>
        <v>1963.4937499999999</v>
      </c>
      <c r="I39" s="102">
        <f t="shared" si="15"/>
        <v>2945.2406249999999</v>
      </c>
      <c r="J39" s="1"/>
      <c r="K39" s="9">
        <v>150</v>
      </c>
      <c r="L39" s="103">
        <f t="shared" si="17"/>
        <v>17671.443749999999</v>
      </c>
      <c r="M39" s="101">
        <f t="shared" si="6"/>
        <v>1767.1443749999999</v>
      </c>
      <c r="N39" s="102">
        <f t="shared" si="7"/>
        <v>3534.2887499999997</v>
      </c>
      <c r="O39" s="102">
        <f t="shared" si="8"/>
        <v>5301.4331249999996</v>
      </c>
      <c r="P39" s="102">
        <f t="shared" si="9"/>
        <v>9719.2940624999992</v>
      </c>
      <c r="Q39" s="102">
        <f t="shared" si="10"/>
        <v>12370.010624999999</v>
      </c>
      <c r="R39" s="104">
        <f t="shared" si="11"/>
        <v>17671.443749999999</v>
      </c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</row>
  </sheetData>
  <sheetProtection algorithmName="SHA-512" hashValue="ZryZAyE7izsD/RNk3JWyMB4C1s5TFhm+KM4v5WOwSS/heFC3JodBYH+qUBZ4Yfsnu2UojSIVF4+s/GzMeNT4MQ==" saltValue="e4Dp8XtUPZt7ImEsN54Ajg==" spinCount="100000" sheet="1" objects="1" scenarios="1"/>
  <mergeCells count="11">
    <mergeCell ref="A15:A16"/>
    <mergeCell ref="E15:E16"/>
    <mergeCell ref="F15:F16"/>
    <mergeCell ref="A17:A18"/>
    <mergeCell ref="E17:E18"/>
    <mergeCell ref="F17:F18"/>
    <mergeCell ref="C20:C23"/>
    <mergeCell ref="I16:I17"/>
    <mergeCell ref="I18:I19"/>
    <mergeCell ref="B7:C7"/>
    <mergeCell ref="E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DCE9F-AEEE-48CF-AD31-BEB61172A4E1}">
  <dimension ref="A1:R41"/>
  <sheetViews>
    <sheetView showGridLines="0" workbookViewId="0">
      <selection activeCell="F19" sqref="F19"/>
    </sheetView>
  </sheetViews>
  <sheetFormatPr defaultRowHeight="15" x14ac:dyDescent="0.25"/>
  <cols>
    <col min="1" max="1" width="30.85546875" customWidth="1"/>
    <col min="2" max="4" width="10.85546875" bestFit="1" customWidth="1"/>
    <col min="5" max="5" width="11.5703125" customWidth="1"/>
    <col min="6" max="6" width="12.5703125" customWidth="1"/>
    <col min="7" max="7" width="9.7109375" customWidth="1"/>
    <col min="8" max="8" width="10.85546875" customWidth="1"/>
    <col min="9" max="9" width="12.42578125" bestFit="1" customWidth="1"/>
    <col min="11" max="11" width="12.42578125" bestFit="1" customWidth="1"/>
    <col min="13" max="13" width="12" bestFit="1" customWidth="1"/>
    <col min="15" max="15" width="9.85546875" bestFit="1" customWidth="1"/>
    <col min="16" max="16" width="7.5703125" bestFit="1" customWidth="1"/>
    <col min="19" max="19" width="12.28515625" bestFit="1" customWidth="1"/>
  </cols>
  <sheetData>
    <row r="1" spans="1:18" x14ac:dyDescent="0.25">
      <c r="A1" s="27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 t="s">
        <v>65</v>
      </c>
      <c r="B2" s="2"/>
      <c r="C2" s="2"/>
      <c r="D2" s="2"/>
      <c r="E2" s="2"/>
      <c r="F2" s="2"/>
      <c r="G2" s="2"/>
      <c r="H2" s="2"/>
      <c r="O2" s="2"/>
      <c r="P2" s="2"/>
      <c r="Q2" s="2"/>
      <c r="R2" s="2"/>
    </row>
    <row r="3" spans="1:18" x14ac:dyDescent="0.25">
      <c r="A3" s="2" t="s">
        <v>66</v>
      </c>
      <c r="B3" s="2"/>
      <c r="C3" s="2"/>
      <c r="D3" s="2"/>
      <c r="E3" s="2"/>
      <c r="F3" s="2"/>
      <c r="G3" s="2"/>
      <c r="H3" s="2"/>
      <c r="O3" s="2"/>
      <c r="P3" s="2"/>
      <c r="Q3" s="2"/>
      <c r="R3" s="2"/>
    </row>
    <row r="4" spans="1:18" x14ac:dyDescent="0.25">
      <c r="A4" s="2" t="s">
        <v>67</v>
      </c>
      <c r="B4" s="2"/>
      <c r="C4" s="2"/>
      <c r="D4" s="2"/>
      <c r="E4" s="2"/>
      <c r="F4" s="2"/>
      <c r="G4" s="2"/>
      <c r="H4" s="2"/>
      <c r="O4" s="2"/>
      <c r="P4" s="2"/>
      <c r="Q4" s="2"/>
      <c r="R4" s="2"/>
    </row>
    <row r="5" spans="1:18" x14ac:dyDescent="0.25">
      <c r="A5" s="2" t="s">
        <v>68</v>
      </c>
      <c r="B5" s="2"/>
      <c r="C5" s="2"/>
      <c r="D5" s="2"/>
      <c r="E5" s="2"/>
      <c r="F5" s="2"/>
      <c r="G5" s="2"/>
      <c r="H5" s="2"/>
      <c r="I5" s="38" t="s">
        <v>60</v>
      </c>
      <c r="J5" s="39"/>
      <c r="K5" s="39"/>
      <c r="L5" s="39"/>
      <c r="M5" s="39"/>
      <c r="N5" s="39"/>
      <c r="Q5" s="2"/>
      <c r="R5" s="2"/>
    </row>
    <row r="6" spans="1:18" ht="15.75" thickBot="1" x14ac:dyDescent="0.3">
      <c r="A6" s="2"/>
      <c r="B6" s="2"/>
      <c r="C6" s="2"/>
      <c r="D6" s="2"/>
      <c r="E6" s="2"/>
      <c r="F6" s="2"/>
      <c r="G6" s="2"/>
      <c r="H6" s="2"/>
      <c r="I6" s="39"/>
      <c r="J6" s="39"/>
      <c r="K6" s="39"/>
      <c r="L6" s="39"/>
      <c r="M6" s="39"/>
      <c r="N6" s="39"/>
      <c r="P6" s="2"/>
      <c r="Q6" s="2"/>
    </row>
    <row r="7" spans="1:18" x14ac:dyDescent="0.25">
      <c r="A7" s="67" t="s">
        <v>70</v>
      </c>
      <c r="B7" s="115" t="s">
        <v>69</v>
      </c>
      <c r="C7" s="115"/>
      <c r="D7" s="68"/>
      <c r="E7" s="115" t="s">
        <v>17</v>
      </c>
      <c r="F7" s="116"/>
      <c r="G7" s="2"/>
      <c r="H7" s="3"/>
      <c r="I7" s="40" t="s">
        <v>84</v>
      </c>
      <c r="J7" s="40" t="s">
        <v>79</v>
      </c>
      <c r="K7" s="40" t="s">
        <v>86</v>
      </c>
      <c r="L7" s="40" t="s">
        <v>87</v>
      </c>
      <c r="M7" s="40" t="s">
        <v>88</v>
      </c>
      <c r="N7" s="40" t="s">
        <v>89</v>
      </c>
      <c r="O7" s="2"/>
      <c r="P7" s="2"/>
      <c r="Q7" s="2"/>
    </row>
    <row r="8" spans="1:18" x14ac:dyDescent="0.25">
      <c r="A8" s="69" t="s">
        <v>71</v>
      </c>
      <c r="B8" s="29">
        <v>50</v>
      </c>
      <c r="C8" s="76" t="s">
        <v>27</v>
      </c>
      <c r="D8" s="77"/>
      <c r="E8" s="106">
        <f>B8/25.4</f>
        <v>1.9685039370078741</v>
      </c>
      <c r="F8" s="78" t="s">
        <v>26</v>
      </c>
      <c r="G8" s="2"/>
      <c r="H8" s="3"/>
      <c r="I8" s="105" t="s">
        <v>76</v>
      </c>
      <c r="J8" s="41" t="s">
        <v>10</v>
      </c>
      <c r="K8" s="41">
        <v>449.6</v>
      </c>
      <c r="L8" s="41">
        <v>89.9</v>
      </c>
      <c r="M8" s="41">
        <v>33.700000000000003</v>
      </c>
      <c r="N8" s="41"/>
      <c r="O8" s="2"/>
      <c r="P8" s="2"/>
      <c r="Q8" s="2"/>
    </row>
    <row r="9" spans="1:18" x14ac:dyDescent="0.25">
      <c r="A9" s="69" t="s">
        <v>72</v>
      </c>
      <c r="B9" s="29">
        <v>1000</v>
      </c>
      <c r="C9" s="76" t="s">
        <v>30</v>
      </c>
      <c r="D9" s="77"/>
      <c r="E9" s="106">
        <f>B9/25.4/25.4</f>
        <v>1.5500031000062002</v>
      </c>
      <c r="F9" s="78" t="s">
        <v>29</v>
      </c>
      <c r="G9" s="2"/>
      <c r="H9" s="3"/>
      <c r="I9" s="46"/>
      <c r="J9" s="41" t="s">
        <v>12</v>
      </c>
      <c r="K9" s="41">
        <v>2000</v>
      </c>
      <c r="L9" s="41">
        <v>400</v>
      </c>
      <c r="M9" s="41">
        <v>150</v>
      </c>
      <c r="N9" s="41"/>
      <c r="O9" s="2"/>
      <c r="P9" s="2"/>
      <c r="Q9" s="2"/>
    </row>
    <row r="10" spans="1:18" x14ac:dyDescent="0.25">
      <c r="A10" s="69" t="s">
        <v>73</v>
      </c>
      <c r="B10" s="29">
        <v>0.6</v>
      </c>
      <c r="C10" s="76" t="s">
        <v>37</v>
      </c>
      <c r="D10" s="77"/>
      <c r="E10" s="106">
        <f>B10/0.006894757</f>
        <v>87.022646338369867</v>
      </c>
      <c r="F10" s="78" t="s">
        <v>14</v>
      </c>
      <c r="G10" s="2"/>
      <c r="H10" s="3"/>
      <c r="I10" s="105" t="s">
        <v>85</v>
      </c>
      <c r="J10" s="41" t="s">
        <v>14</v>
      </c>
      <c r="K10" s="41">
        <v>58</v>
      </c>
      <c r="L10" s="41">
        <v>58</v>
      </c>
      <c r="M10" s="41">
        <v>43</v>
      </c>
      <c r="N10" s="41">
        <v>12</v>
      </c>
      <c r="O10" s="2"/>
      <c r="P10" s="2"/>
      <c r="Q10" s="2"/>
    </row>
    <row r="11" spans="1:18" x14ac:dyDescent="0.25">
      <c r="A11" s="69" t="s">
        <v>74</v>
      </c>
      <c r="B11" s="29">
        <v>0.2</v>
      </c>
      <c r="C11" s="76" t="s">
        <v>37</v>
      </c>
      <c r="D11" s="77"/>
      <c r="E11" s="106">
        <f>B11/0.006894757</f>
        <v>29.007548779456624</v>
      </c>
      <c r="F11" s="78" t="s">
        <v>14</v>
      </c>
      <c r="G11" s="2"/>
      <c r="H11" s="3"/>
      <c r="I11" s="46"/>
      <c r="J11" s="41" t="s">
        <v>15</v>
      </c>
      <c r="K11" s="41">
        <v>40</v>
      </c>
      <c r="L11" s="41">
        <v>40</v>
      </c>
      <c r="M11" s="41">
        <v>29.6</v>
      </c>
      <c r="N11" s="41">
        <v>8.3000000000000007</v>
      </c>
      <c r="O11" s="2"/>
      <c r="P11" s="2"/>
      <c r="Q11" s="2"/>
      <c r="R11" s="2"/>
    </row>
    <row r="12" spans="1:18" ht="15.75" thickBot="1" x14ac:dyDescent="0.3">
      <c r="A12" s="70" t="s">
        <v>75</v>
      </c>
      <c r="B12" s="71">
        <f>((B8/2)^2)*3.1416</f>
        <v>1963.5</v>
      </c>
      <c r="C12" s="72" t="s">
        <v>30</v>
      </c>
      <c r="D12" s="73"/>
      <c r="E12" s="74">
        <f>((E8/2)^2)*3.1416</f>
        <v>3.0434310868621739</v>
      </c>
      <c r="F12" s="75" t="s">
        <v>29</v>
      </c>
      <c r="G12" s="2"/>
      <c r="H12" s="3"/>
      <c r="I12" s="41" t="s">
        <v>19</v>
      </c>
      <c r="J12" s="41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2"/>
      <c r="P12" s="2"/>
      <c r="Q12" s="2"/>
      <c r="R12" s="2"/>
    </row>
    <row r="13" spans="1:18" ht="15.75" thickBot="1" x14ac:dyDescent="0.3">
      <c r="A13" s="5"/>
      <c r="B13" s="5"/>
      <c r="C13" s="6"/>
      <c r="D13" s="5"/>
      <c r="E13" s="5"/>
      <c r="F13" s="6"/>
      <c r="G13" s="5"/>
      <c r="H13" s="7"/>
      <c r="I13" s="42"/>
      <c r="J13" s="43"/>
      <c r="K13" s="43"/>
      <c r="L13" s="43"/>
      <c r="M13" s="43"/>
      <c r="N13" s="43"/>
      <c r="O13" s="2"/>
      <c r="P13" s="2"/>
      <c r="Q13" s="2"/>
      <c r="R13" s="2"/>
    </row>
    <row r="14" spans="1:18" ht="34.5" customHeight="1" thickBot="1" x14ac:dyDescent="0.3">
      <c r="A14" s="57" t="s">
        <v>78</v>
      </c>
      <c r="B14" s="58" t="s">
        <v>79</v>
      </c>
      <c r="C14" s="59" t="s">
        <v>80</v>
      </c>
      <c r="D14" s="108" t="s">
        <v>81</v>
      </c>
      <c r="E14" s="107" t="s">
        <v>82</v>
      </c>
      <c r="F14" s="51" t="s">
        <v>83</v>
      </c>
      <c r="G14" s="5"/>
      <c r="H14" s="6"/>
      <c r="I14" s="39"/>
      <c r="J14" s="39"/>
      <c r="K14" s="39"/>
      <c r="L14" s="39"/>
      <c r="M14" s="39"/>
      <c r="N14" s="39"/>
      <c r="O14" s="2"/>
      <c r="P14" s="2"/>
      <c r="Q14" s="2"/>
      <c r="R14" s="2"/>
    </row>
    <row r="15" spans="1:18" x14ac:dyDescent="0.25">
      <c r="A15" s="117" t="s">
        <v>76</v>
      </c>
      <c r="B15" s="61" t="s">
        <v>12</v>
      </c>
      <c r="C15" s="62">
        <f>B10*B12</f>
        <v>1178.0999999999999</v>
      </c>
      <c r="D15" s="109">
        <f>B12*B11</f>
        <v>392.70000000000005</v>
      </c>
      <c r="E15" s="125" t="str">
        <f>IF(C16&gt;450,"e",IF(C16&gt;90,"d", IF(C16&gt;34,"c",  IF(C16&gt;0,"b"))))</f>
        <v>d</v>
      </c>
      <c r="F15" s="120" t="str">
        <f>IF(D16&gt;450,"e",IF(D16&gt;90,"d", IF(D16&gt;34,"c",  IF(D16&gt;0,"b"))))</f>
        <v>c</v>
      </c>
      <c r="G15" s="5"/>
      <c r="H15" s="6"/>
      <c r="I15" s="40" t="s">
        <v>31</v>
      </c>
      <c r="J15" s="40" t="s">
        <v>79</v>
      </c>
      <c r="K15" s="40" t="s">
        <v>90</v>
      </c>
      <c r="L15" s="40" t="s">
        <v>92</v>
      </c>
      <c r="M15" s="40" t="s">
        <v>93</v>
      </c>
      <c r="N15" s="40" t="s">
        <v>94</v>
      </c>
      <c r="O15" s="2"/>
      <c r="P15" s="2"/>
      <c r="Q15" s="32"/>
      <c r="R15" s="2"/>
    </row>
    <row r="16" spans="1:18" ht="15.75" thickBot="1" x14ac:dyDescent="0.3">
      <c r="A16" s="117"/>
      <c r="B16" s="61" t="s">
        <v>10</v>
      </c>
      <c r="C16" s="62">
        <f>E10*E12</f>
        <v>264.8474271272076</v>
      </c>
      <c r="D16" s="109">
        <f>E11*E12</f>
        <v>88.282475709069203</v>
      </c>
      <c r="E16" s="126"/>
      <c r="F16" s="121"/>
      <c r="G16" s="5"/>
      <c r="H16" s="6"/>
      <c r="I16" s="114" t="s">
        <v>76</v>
      </c>
      <c r="J16" s="41" t="s">
        <v>10</v>
      </c>
      <c r="K16" s="44">
        <f>K17*0.22</f>
        <v>14.3</v>
      </c>
      <c r="L16" s="44">
        <f t="shared" ref="L16:N16" si="0">L17*0.22</f>
        <v>30.8</v>
      </c>
      <c r="M16" s="44">
        <f t="shared" si="0"/>
        <v>30.8</v>
      </c>
      <c r="N16" s="44">
        <f t="shared" si="0"/>
        <v>28.6</v>
      </c>
      <c r="O16" s="2"/>
      <c r="P16" s="2"/>
      <c r="Q16" s="7"/>
      <c r="R16" s="2"/>
    </row>
    <row r="17" spans="1:18" x14ac:dyDescent="0.25">
      <c r="A17" s="127" t="s">
        <v>77</v>
      </c>
      <c r="B17" s="61" t="s">
        <v>15</v>
      </c>
      <c r="C17" s="62">
        <f>C15/B9*100</f>
        <v>117.80999999999999</v>
      </c>
      <c r="D17" s="109">
        <f>D15/B9*100</f>
        <v>39.270000000000003</v>
      </c>
      <c r="E17" s="129" t="str">
        <f>IF(C18&gt;58,"d/e",IF(C18&gt;43,"c", IF(C18&gt;12,"b",  IF(C18&gt;0,"b"))))</f>
        <v>d/e</v>
      </c>
      <c r="F17" s="124" t="str">
        <f>IF(D18&gt;58,"d/e",IF(D18&gt;43,"c", IF(D18&gt;29.6,"c",  IF(D18&gt;0,"b"))))</f>
        <v>c</v>
      </c>
      <c r="G17" s="5"/>
      <c r="H17" s="6"/>
      <c r="I17" s="114"/>
      <c r="J17" s="41" t="s">
        <v>12</v>
      </c>
      <c r="K17" s="45">
        <v>65</v>
      </c>
      <c r="L17" s="45">
        <v>140</v>
      </c>
      <c r="M17" s="45">
        <v>140</v>
      </c>
      <c r="N17" s="45">
        <v>130</v>
      </c>
      <c r="O17" s="32"/>
      <c r="P17" s="32"/>
      <c r="Q17" s="31"/>
      <c r="R17" s="2"/>
    </row>
    <row r="18" spans="1:18" ht="15.75" thickBot="1" x14ac:dyDescent="0.3">
      <c r="A18" s="128"/>
      <c r="B18" s="64" t="s">
        <v>14</v>
      </c>
      <c r="C18" s="65">
        <f>C16/E9</f>
        <v>170.86896608538922</v>
      </c>
      <c r="D18" s="110">
        <f>D16/E9</f>
        <v>56.956322028463077</v>
      </c>
      <c r="E18" s="126"/>
      <c r="F18" s="121"/>
      <c r="G18" s="5"/>
      <c r="H18" s="6"/>
      <c r="I18" s="114" t="s">
        <v>85</v>
      </c>
      <c r="J18" s="41" t="s">
        <v>14</v>
      </c>
      <c r="K18" s="45">
        <f>K19*1.45</f>
        <v>159.5</v>
      </c>
      <c r="L18" s="45">
        <f t="shared" ref="L18:N18" si="1">L19*1.45</f>
        <v>275.5</v>
      </c>
      <c r="M18" s="45">
        <f t="shared" si="1"/>
        <v>174</v>
      </c>
      <c r="N18" s="45">
        <f t="shared" si="1"/>
        <v>304.5</v>
      </c>
      <c r="O18" s="7"/>
      <c r="P18" s="7"/>
      <c r="Q18" s="6"/>
      <c r="R18" s="2"/>
    </row>
    <row r="19" spans="1:18" ht="15.75" thickBot="1" x14ac:dyDescent="0.3">
      <c r="A19" s="33"/>
      <c r="B19" s="6"/>
      <c r="C19" s="31"/>
      <c r="D19" s="31"/>
      <c r="E19" s="34"/>
      <c r="F19" s="34"/>
      <c r="G19" s="5"/>
      <c r="H19" s="6"/>
      <c r="I19" s="114"/>
      <c r="J19" s="41" t="s">
        <v>15</v>
      </c>
      <c r="K19" s="45">
        <v>110</v>
      </c>
      <c r="L19" s="45">
        <v>190</v>
      </c>
      <c r="M19" s="45">
        <v>120</v>
      </c>
      <c r="N19" s="45">
        <v>210</v>
      </c>
      <c r="O19" s="7"/>
      <c r="P19" s="7"/>
      <c r="Q19" s="6"/>
      <c r="R19" s="2"/>
    </row>
    <row r="20" spans="1:18" x14ac:dyDescent="0.25">
      <c r="C20" s="111" t="s">
        <v>59</v>
      </c>
      <c r="D20" s="48" t="s">
        <v>91</v>
      </c>
      <c r="E20" s="52" t="str">
        <f>IF(C17&lt;K19,"Acceptable","-")</f>
        <v>-</v>
      </c>
      <c r="F20" s="53" t="str">
        <f>IF(D17&lt;K19,"Aceptable","-")</f>
        <v>Aceptable</v>
      </c>
      <c r="G20" s="5"/>
      <c r="H20" s="6"/>
      <c r="I20" s="34"/>
      <c r="J20" s="6"/>
      <c r="K20" s="35"/>
      <c r="L20" s="35"/>
      <c r="M20" s="35"/>
      <c r="N20" s="35"/>
      <c r="O20" s="7"/>
      <c r="P20" s="7"/>
      <c r="Q20" s="6"/>
      <c r="R20" s="2"/>
    </row>
    <row r="21" spans="1:18" x14ac:dyDescent="0.25">
      <c r="C21" s="112"/>
      <c r="D21" s="47" t="s">
        <v>92</v>
      </c>
      <c r="E21" s="36" t="str">
        <f>IF(C17&lt;L19,"Aceptable","-")</f>
        <v>Aceptable</v>
      </c>
      <c r="F21" s="54" t="str">
        <f>IF(D17&lt;L19,"Aceptable","-")</f>
        <v>Aceptable</v>
      </c>
      <c r="G21" s="5"/>
      <c r="H21" s="6"/>
      <c r="I21" s="34"/>
      <c r="J21" s="6"/>
      <c r="K21" s="35"/>
      <c r="L21" s="35"/>
      <c r="M21" s="35"/>
      <c r="N21" s="35"/>
      <c r="O21" s="7"/>
      <c r="P21" s="7"/>
      <c r="Q21" s="6"/>
      <c r="R21" s="2"/>
    </row>
    <row r="22" spans="1:18" x14ac:dyDescent="0.25">
      <c r="C22" s="112"/>
      <c r="D22" s="47" t="s">
        <v>93</v>
      </c>
      <c r="E22" s="36" t="str">
        <f>IF(C17&lt;M19,"Aceptable","-")</f>
        <v>Aceptable</v>
      </c>
      <c r="F22" s="54" t="str">
        <f>IF(D17&lt;M19,"Aceptable","-")</f>
        <v>Aceptable</v>
      </c>
      <c r="G22" s="5"/>
      <c r="H22" s="6"/>
      <c r="I22" s="34"/>
      <c r="J22" s="6"/>
      <c r="K22" s="35"/>
      <c r="L22" s="35"/>
      <c r="M22" s="35"/>
      <c r="N22" s="35"/>
      <c r="O22" s="7"/>
      <c r="P22" s="7"/>
      <c r="Q22" s="6"/>
      <c r="R22" s="2"/>
    </row>
    <row r="23" spans="1:18" ht="15.75" thickBot="1" x14ac:dyDescent="0.3">
      <c r="C23" s="113"/>
      <c r="D23" s="49" t="s">
        <v>94</v>
      </c>
      <c r="E23" s="55" t="str">
        <f>IF(C17&lt;N19,"Aceptable","-")</f>
        <v>Aceptable</v>
      </c>
      <c r="F23" s="56" t="str">
        <f>IF(D17&lt;N19,"Aceptable","-")</f>
        <v>Aceptable</v>
      </c>
      <c r="G23" s="5"/>
      <c r="H23" s="6"/>
      <c r="I23" s="34"/>
      <c r="J23" s="6"/>
      <c r="K23" s="35"/>
      <c r="L23" s="35"/>
      <c r="M23" s="35"/>
      <c r="N23" s="35"/>
      <c r="O23" s="7"/>
      <c r="P23" s="7"/>
      <c r="Q23" s="6"/>
      <c r="R23" s="2"/>
    </row>
    <row r="24" spans="1:18" x14ac:dyDescent="0.25">
      <c r="A24" s="37"/>
      <c r="B24" s="7"/>
      <c r="C24" s="34"/>
      <c r="D24" s="34"/>
      <c r="E24" s="34"/>
      <c r="F24" s="34"/>
      <c r="G24" s="5"/>
      <c r="H24" s="6"/>
      <c r="I24" s="34"/>
      <c r="J24" s="6"/>
      <c r="K24" s="35"/>
      <c r="L24" s="35"/>
      <c r="M24" s="35"/>
      <c r="N24" s="35"/>
      <c r="O24" s="7"/>
      <c r="P24" s="7"/>
      <c r="Q24" s="6"/>
      <c r="R24" s="2"/>
    </row>
    <row r="25" spans="1:18" ht="15.75" thickBot="1" x14ac:dyDescent="0.3">
      <c r="A25" s="37"/>
      <c r="B25" s="7"/>
      <c r="C25" s="34"/>
      <c r="D25" s="34"/>
      <c r="E25" s="34"/>
      <c r="F25" s="34"/>
      <c r="G25" s="5"/>
      <c r="H25" s="6"/>
      <c r="I25" s="34"/>
      <c r="J25" s="6"/>
      <c r="K25" s="35"/>
      <c r="L25" s="35"/>
      <c r="M25" s="35"/>
      <c r="N25" s="35"/>
      <c r="O25" s="7"/>
      <c r="P25" s="7"/>
      <c r="Q25" s="6"/>
      <c r="R25" s="2"/>
    </row>
    <row r="26" spans="1:18" x14ac:dyDescent="0.25">
      <c r="A26" s="33"/>
      <c r="B26" s="80"/>
      <c r="C26" s="81"/>
      <c r="D26" s="81"/>
      <c r="E26" s="81"/>
      <c r="F26" s="82"/>
      <c r="G26" s="28"/>
      <c r="H26" s="83"/>
      <c r="I26" s="84"/>
      <c r="J26" s="83"/>
      <c r="K26" s="83"/>
      <c r="L26" s="83"/>
      <c r="M26" s="85" t="s">
        <v>86</v>
      </c>
      <c r="N26" s="86" t="s">
        <v>87</v>
      </c>
      <c r="O26" s="87" t="s">
        <v>88</v>
      </c>
      <c r="P26" s="8" t="s">
        <v>89</v>
      </c>
      <c r="Q26" s="83"/>
      <c r="R26" s="88"/>
    </row>
    <row r="27" spans="1:18" x14ac:dyDescent="0.25">
      <c r="A27" s="5"/>
      <c r="B27" s="89"/>
      <c r="C27" s="6"/>
      <c r="D27" s="5"/>
      <c r="E27" s="10"/>
      <c r="F27" s="6"/>
      <c r="G27" s="5"/>
      <c r="H27" s="6"/>
      <c r="I27" s="30"/>
      <c r="J27" s="6"/>
      <c r="K27" s="6"/>
      <c r="L27" s="6"/>
      <c r="M27" s="6"/>
      <c r="N27" s="6"/>
      <c r="O27" s="6"/>
      <c r="P27" s="6"/>
      <c r="Q27" s="6"/>
      <c r="R27" s="90"/>
    </row>
    <row r="28" spans="1:18" x14ac:dyDescent="0.25">
      <c r="A28" s="2"/>
      <c r="B28" s="26"/>
      <c r="C28" s="5"/>
      <c r="D28" s="11" t="s">
        <v>96</v>
      </c>
      <c r="E28" s="12"/>
      <c r="F28" s="12"/>
      <c r="G28" s="12"/>
      <c r="H28" s="12"/>
      <c r="I28" s="13"/>
      <c r="J28" s="5"/>
      <c r="K28" s="5"/>
      <c r="L28" s="5"/>
      <c r="M28" s="11" t="s">
        <v>97</v>
      </c>
      <c r="N28" s="12"/>
      <c r="O28" s="12"/>
      <c r="P28" s="12"/>
      <c r="Q28" s="12"/>
      <c r="R28" s="91"/>
    </row>
    <row r="29" spans="1:18" x14ac:dyDescent="0.25">
      <c r="A29" s="2"/>
      <c r="B29" s="92" t="s">
        <v>95</v>
      </c>
      <c r="C29" s="14" t="s">
        <v>46</v>
      </c>
      <c r="D29" s="14" t="s">
        <v>47</v>
      </c>
      <c r="E29" s="14" t="s">
        <v>48</v>
      </c>
      <c r="F29" s="14" t="s">
        <v>49</v>
      </c>
      <c r="G29" s="14" t="s">
        <v>50</v>
      </c>
      <c r="H29" s="14" t="s">
        <v>51</v>
      </c>
      <c r="I29" s="14" t="s">
        <v>52</v>
      </c>
      <c r="J29" s="5"/>
      <c r="K29" s="92" t="s">
        <v>95</v>
      </c>
      <c r="L29" s="14" t="s">
        <v>46</v>
      </c>
      <c r="M29" s="14" t="s">
        <v>53</v>
      </c>
      <c r="N29" s="14" t="s">
        <v>54</v>
      </c>
      <c r="O29" s="14" t="s">
        <v>55</v>
      </c>
      <c r="P29" s="14" t="s">
        <v>56</v>
      </c>
      <c r="Q29" s="14" t="s">
        <v>57</v>
      </c>
      <c r="R29" s="93" t="s">
        <v>58</v>
      </c>
    </row>
    <row r="30" spans="1:18" x14ac:dyDescent="0.25">
      <c r="A30" s="2"/>
      <c r="B30" s="94">
        <v>0.75</v>
      </c>
      <c r="C30" s="16">
        <f t="shared" ref="C30" si="2">3.14159*(B30/2)^2</f>
        <v>0.44178609375</v>
      </c>
      <c r="D30" s="17">
        <f>C30*15</f>
        <v>6.6267914062499997</v>
      </c>
      <c r="E30" s="17">
        <f>C30*30</f>
        <v>13.253582812499999</v>
      </c>
      <c r="F30" s="17">
        <f>C30*45</f>
        <v>19.880374218749999</v>
      </c>
      <c r="G30" s="18">
        <f t="shared" ref="G30:G39" si="3">C30*80</f>
        <v>35.342887500000003</v>
      </c>
      <c r="H30" s="18">
        <f t="shared" ref="H30:H39" si="4">C30*100</f>
        <v>44.178609375000001</v>
      </c>
      <c r="I30" s="18">
        <f>C30*150</f>
        <v>66.267914062499997</v>
      </c>
      <c r="J30" s="5"/>
      <c r="K30" s="19">
        <v>20</v>
      </c>
      <c r="L30" s="16">
        <f t="shared" ref="L30:L31" si="5">3.14159*(K30/2)^2</f>
        <v>314.15899999999999</v>
      </c>
      <c r="M30" s="17">
        <f t="shared" ref="M30:M39" si="6">$L30*1/10</f>
        <v>31.415900000000001</v>
      </c>
      <c r="N30" s="17">
        <f t="shared" ref="N30:N39" si="7">$L30*2/10</f>
        <v>62.831800000000001</v>
      </c>
      <c r="O30" s="17">
        <f t="shared" ref="O30:O39" si="8">$L30*3/10</f>
        <v>94.247699999999995</v>
      </c>
      <c r="P30" s="18">
        <f t="shared" ref="P30:P39" si="9">$L30*5.5/10</f>
        <v>172.78744999999998</v>
      </c>
      <c r="Q30" s="18">
        <f t="shared" ref="Q30:Q39" si="10">$L30*7/10</f>
        <v>219.91129999999998</v>
      </c>
      <c r="R30" s="95">
        <f t="shared" ref="R30:R39" si="11">$L30*10/10</f>
        <v>314.15899999999999</v>
      </c>
    </row>
    <row r="31" spans="1:18" x14ac:dyDescent="0.25">
      <c r="A31" s="2"/>
      <c r="B31" s="96">
        <v>1</v>
      </c>
      <c r="C31" s="16">
        <f>3.14159*(B31/2)^2</f>
        <v>0.78539749999999997</v>
      </c>
      <c r="D31" s="17">
        <f t="shared" ref="D31:D39" si="12">C31*15</f>
        <v>11.780962499999999</v>
      </c>
      <c r="E31" s="19">
        <f t="shared" ref="E31:E39" si="13">C31*30</f>
        <v>23.561924999999999</v>
      </c>
      <c r="F31" s="20">
        <f t="shared" ref="F31:F39" si="14">C31*45</f>
        <v>35.342887499999996</v>
      </c>
      <c r="G31" s="18">
        <f t="shared" si="3"/>
        <v>62.831800000000001</v>
      </c>
      <c r="H31" s="18">
        <f t="shared" si="4"/>
        <v>78.539749999999998</v>
      </c>
      <c r="I31" s="21">
        <f t="shared" ref="I31:I39" si="15">C31*150</f>
        <v>117.809625</v>
      </c>
      <c r="J31" s="5"/>
      <c r="K31" s="19">
        <v>25</v>
      </c>
      <c r="L31" s="16">
        <f t="shared" si="5"/>
        <v>490.87343749999997</v>
      </c>
      <c r="M31" s="17">
        <f t="shared" si="6"/>
        <v>49.087343749999995</v>
      </c>
      <c r="N31" s="17">
        <f t="shared" si="7"/>
        <v>98.17468749999999</v>
      </c>
      <c r="O31" s="17">
        <f t="shared" si="8"/>
        <v>147.26203125000001</v>
      </c>
      <c r="P31" s="18">
        <f t="shared" si="9"/>
        <v>269.98039062499998</v>
      </c>
      <c r="Q31" s="18">
        <f t="shared" si="10"/>
        <v>343.61140624999996</v>
      </c>
      <c r="R31" s="97">
        <f t="shared" si="11"/>
        <v>490.87343750000002</v>
      </c>
    </row>
    <row r="32" spans="1:18" x14ac:dyDescent="0.25">
      <c r="A32" s="2"/>
      <c r="B32" s="96">
        <v>1.25</v>
      </c>
      <c r="C32" s="16">
        <f>3.14159*(B32/2)^2</f>
        <v>1.22718359375</v>
      </c>
      <c r="D32" s="17">
        <f t="shared" si="12"/>
        <v>18.407753906250001</v>
      </c>
      <c r="E32" s="20">
        <f t="shared" si="13"/>
        <v>36.815507812500002</v>
      </c>
      <c r="F32" s="20">
        <f t="shared" si="14"/>
        <v>55.223261718749995</v>
      </c>
      <c r="G32" s="21">
        <f t="shared" si="3"/>
        <v>98.174687500000005</v>
      </c>
      <c r="H32" s="21">
        <f t="shared" si="4"/>
        <v>122.71835937499999</v>
      </c>
      <c r="I32" s="21">
        <f t="shared" si="15"/>
        <v>184.07753906249999</v>
      </c>
      <c r="J32" s="5"/>
      <c r="K32" s="19">
        <v>32</v>
      </c>
      <c r="L32" s="16">
        <f>3.14159*(K32/2)^2</f>
        <v>804.24703999999997</v>
      </c>
      <c r="M32" s="17">
        <f t="shared" si="6"/>
        <v>80.424703999999991</v>
      </c>
      <c r="N32" s="18">
        <f t="shared" si="7"/>
        <v>160.84940799999998</v>
      </c>
      <c r="O32" s="18">
        <f t="shared" si="8"/>
        <v>241.27411199999997</v>
      </c>
      <c r="P32" s="21">
        <f t="shared" si="9"/>
        <v>442.33587199999999</v>
      </c>
      <c r="Q32" s="21">
        <f t="shared" si="10"/>
        <v>562.97292799999991</v>
      </c>
      <c r="R32" s="97">
        <f t="shared" si="11"/>
        <v>804.24703999999997</v>
      </c>
    </row>
    <row r="33" spans="1:18" x14ac:dyDescent="0.25">
      <c r="A33" s="2"/>
      <c r="B33" s="96">
        <v>1.5</v>
      </c>
      <c r="C33" s="16">
        <f t="shared" ref="C33:C34" si="16">3.14159*(B33/2)^2</f>
        <v>1.767144375</v>
      </c>
      <c r="D33" s="17">
        <f t="shared" si="12"/>
        <v>26.507165624999999</v>
      </c>
      <c r="E33" s="20">
        <f t="shared" si="13"/>
        <v>53.014331249999998</v>
      </c>
      <c r="F33" s="20">
        <f t="shared" si="14"/>
        <v>79.521496874999997</v>
      </c>
      <c r="G33" s="21">
        <f t="shared" si="3"/>
        <v>141.37155000000001</v>
      </c>
      <c r="H33" s="21">
        <f t="shared" si="4"/>
        <v>176.7144375</v>
      </c>
      <c r="I33" s="21">
        <f t="shared" si="15"/>
        <v>265.07165624999999</v>
      </c>
      <c r="J33" s="5"/>
      <c r="K33" s="19">
        <v>40</v>
      </c>
      <c r="L33" s="16">
        <f>3.14159*(K33/2)^2</f>
        <v>1256.636</v>
      </c>
      <c r="M33" s="17">
        <f t="shared" si="6"/>
        <v>125.6636</v>
      </c>
      <c r="N33" s="18">
        <f t="shared" si="7"/>
        <v>251.3272</v>
      </c>
      <c r="O33" s="18">
        <f t="shared" si="8"/>
        <v>376.99079999999998</v>
      </c>
      <c r="P33" s="21">
        <f t="shared" si="9"/>
        <v>691.14979999999991</v>
      </c>
      <c r="Q33" s="21">
        <f t="shared" si="10"/>
        <v>879.64519999999993</v>
      </c>
      <c r="R33" s="97">
        <f t="shared" si="11"/>
        <v>1256.636</v>
      </c>
    </row>
    <row r="34" spans="1:18" x14ac:dyDescent="0.25">
      <c r="A34" s="2"/>
      <c r="B34" s="96">
        <v>2</v>
      </c>
      <c r="C34" s="16">
        <f t="shared" si="16"/>
        <v>3.1415899999999999</v>
      </c>
      <c r="D34" s="18">
        <f t="shared" si="12"/>
        <v>47.123849999999997</v>
      </c>
      <c r="E34" s="20">
        <f t="shared" si="13"/>
        <v>94.247699999999995</v>
      </c>
      <c r="F34" s="20">
        <f t="shared" si="14"/>
        <v>141.37154999999998</v>
      </c>
      <c r="G34" s="21">
        <f t="shared" si="3"/>
        <v>251.3272</v>
      </c>
      <c r="H34" s="21">
        <f t="shared" si="4"/>
        <v>314.15899999999999</v>
      </c>
      <c r="I34" s="21">
        <f t="shared" si="15"/>
        <v>471.23849999999999</v>
      </c>
      <c r="J34" s="5"/>
      <c r="K34" s="15">
        <v>50</v>
      </c>
      <c r="L34" s="16">
        <f t="shared" ref="L34:L39" si="17">3.14159*(K34/2)^2</f>
        <v>1963.4937499999999</v>
      </c>
      <c r="M34" s="18">
        <f t="shared" si="6"/>
        <v>196.34937499999998</v>
      </c>
      <c r="N34" s="18">
        <f t="shared" si="7"/>
        <v>392.69874999999996</v>
      </c>
      <c r="O34" s="21">
        <f t="shared" si="8"/>
        <v>589.04812500000003</v>
      </c>
      <c r="P34" s="21">
        <f t="shared" si="9"/>
        <v>1079.9215624999999</v>
      </c>
      <c r="Q34" s="21">
        <f t="shared" si="10"/>
        <v>1374.4456249999998</v>
      </c>
      <c r="R34" s="97">
        <f t="shared" si="11"/>
        <v>1963.4937500000001</v>
      </c>
    </row>
    <row r="35" spans="1:18" x14ac:dyDescent="0.25">
      <c r="A35" s="2"/>
      <c r="B35" s="96">
        <v>2.5</v>
      </c>
      <c r="C35" s="16">
        <f>3.14159*(B35/2)^2</f>
        <v>4.9087343749999999</v>
      </c>
      <c r="D35" s="18">
        <f t="shared" si="12"/>
        <v>73.631015625000003</v>
      </c>
      <c r="E35" s="22">
        <f t="shared" si="13"/>
        <v>147.26203125000001</v>
      </c>
      <c r="F35" s="22">
        <f t="shared" si="14"/>
        <v>220.89304687499998</v>
      </c>
      <c r="G35" s="21">
        <f t="shared" si="3"/>
        <v>392.69875000000002</v>
      </c>
      <c r="H35" s="23">
        <f t="shared" si="4"/>
        <v>490.87343749999997</v>
      </c>
      <c r="I35" s="23">
        <f t="shared" si="15"/>
        <v>736.31015624999998</v>
      </c>
      <c r="J35" s="5"/>
      <c r="K35" s="4">
        <v>63</v>
      </c>
      <c r="L35" s="16">
        <f t="shared" si="17"/>
        <v>3117.2426774999999</v>
      </c>
      <c r="M35" s="18">
        <f t="shared" si="6"/>
        <v>311.72426774999997</v>
      </c>
      <c r="N35" s="21">
        <f t="shared" si="7"/>
        <v>623.44853549999993</v>
      </c>
      <c r="O35" s="21">
        <f t="shared" si="8"/>
        <v>935.1728032499999</v>
      </c>
      <c r="P35" s="21">
        <f t="shared" si="9"/>
        <v>1714.4834726249999</v>
      </c>
      <c r="Q35" s="23">
        <f t="shared" si="10"/>
        <v>2182.0698742499999</v>
      </c>
      <c r="R35" s="98">
        <f t="shared" si="11"/>
        <v>3117.2426774999999</v>
      </c>
    </row>
    <row r="36" spans="1:18" x14ac:dyDescent="0.25">
      <c r="A36" s="2"/>
      <c r="B36" s="96">
        <v>3</v>
      </c>
      <c r="C36" s="16">
        <f>3.14159*(B36/2)^2</f>
        <v>7.0685775</v>
      </c>
      <c r="D36" s="21">
        <f t="shared" si="12"/>
        <v>106.0286625</v>
      </c>
      <c r="E36" s="22">
        <f t="shared" si="13"/>
        <v>212.05732499999999</v>
      </c>
      <c r="F36" s="22">
        <f t="shared" si="14"/>
        <v>318.08598749999999</v>
      </c>
      <c r="G36" s="23">
        <f t="shared" si="3"/>
        <v>565.48620000000005</v>
      </c>
      <c r="H36" s="23">
        <f t="shared" si="4"/>
        <v>706.85775000000001</v>
      </c>
      <c r="I36" s="23">
        <f t="shared" si="15"/>
        <v>1060.286625</v>
      </c>
      <c r="J36" s="5"/>
      <c r="K36" s="4">
        <v>80</v>
      </c>
      <c r="L36" s="16">
        <f t="shared" si="17"/>
        <v>5026.5439999999999</v>
      </c>
      <c r="M36" s="21">
        <f t="shared" si="6"/>
        <v>502.65440000000001</v>
      </c>
      <c r="N36" s="21">
        <f t="shared" si="7"/>
        <v>1005.3088</v>
      </c>
      <c r="O36" s="21">
        <f t="shared" si="8"/>
        <v>1507.9631999999999</v>
      </c>
      <c r="P36" s="23">
        <f t="shared" si="9"/>
        <v>2764.5991999999997</v>
      </c>
      <c r="Q36" s="23">
        <f t="shared" si="10"/>
        <v>3518.5807999999997</v>
      </c>
      <c r="R36" s="98">
        <f t="shared" si="11"/>
        <v>5026.5439999999999</v>
      </c>
    </row>
    <row r="37" spans="1:18" x14ac:dyDescent="0.25">
      <c r="A37" s="2"/>
      <c r="B37" s="96">
        <v>4</v>
      </c>
      <c r="C37" s="16">
        <f>3.14159*(B37/2)^2</f>
        <v>12.56636</v>
      </c>
      <c r="D37" s="21">
        <f t="shared" si="12"/>
        <v>188.49539999999999</v>
      </c>
      <c r="E37" s="22">
        <f t="shared" si="13"/>
        <v>376.99079999999998</v>
      </c>
      <c r="F37" s="24">
        <f t="shared" si="14"/>
        <v>565.48619999999994</v>
      </c>
      <c r="G37" s="23">
        <f t="shared" si="3"/>
        <v>1005.3088</v>
      </c>
      <c r="H37" s="23">
        <f t="shared" si="4"/>
        <v>1256.636</v>
      </c>
      <c r="I37" s="23">
        <f t="shared" si="15"/>
        <v>1884.954</v>
      </c>
      <c r="J37" s="5"/>
      <c r="K37" s="4">
        <v>100</v>
      </c>
      <c r="L37" s="16">
        <f t="shared" si="17"/>
        <v>7853.9749999999995</v>
      </c>
      <c r="M37" s="21">
        <f t="shared" si="6"/>
        <v>785.39749999999992</v>
      </c>
      <c r="N37" s="21">
        <f t="shared" si="7"/>
        <v>1570.7949999999998</v>
      </c>
      <c r="O37" s="23">
        <f t="shared" si="8"/>
        <v>2356.1925000000001</v>
      </c>
      <c r="P37" s="23">
        <f t="shared" si="9"/>
        <v>4319.6862499999997</v>
      </c>
      <c r="Q37" s="23">
        <f t="shared" si="10"/>
        <v>5497.7824999999993</v>
      </c>
      <c r="R37" s="98">
        <f t="shared" si="11"/>
        <v>7853.9750000000004</v>
      </c>
    </row>
    <row r="38" spans="1:18" x14ac:dyDescent="0.25">
      <c r="A38" s="2"/>
      <c r="B38" s="96">
        <v>4.5</v>
      </c>
      <c r="C38" s="25">
        <f>3.14159*(B38/2)^2</f>
        <v>15.904299374999999</v>
      </c>
      <c r="D38" s="21">
        <f t="shared" si="12"/>
        <v>238.56449062499999</v>
      </c>
      <c r="E38" s="23">
        <f t="shared" si="13"/>
        <v>477.12898124999998</v>
      </c>
      <c r="F38" s="23">
        <f t="shared" si="14"/>
        <v>715.693471875</v>
      </c>
      <c r="G38" s="23">
        <f t="shared" si="3"/>
        <v>1272.3439499999999</v>
      </c>
      <c r="H38" s="23">
        <f t="shared" si="4"/>
        <v>1590.4299374999998</v>
      </c>
      <c r="I38" s="23">
        <f t="shared" si="15"/>
        <v>2385.6449062500001</v>
      </c>
      <c r="J38" s="5"/>
      <c r="K38" s="4">
        <v>125</v>
      </c>
      <c r="L38" s="16">
        <f t="shared" si="17"/>
        <v>12271.8359375</v>
      </c>
      <c r="M38" s="21">
        <f t="shared" si="6"/>
        <v>1227.18359375</v>
      </c>
      <c r="N38" s="23">
        <f t="shared" si="7"/>
        <v>2454.3671875</v>
      </c>
      <c r="O38" s="23">
        <f t="shared" si="8"/>
        <v>3681.55078125</v>
      </c>
      <c r="P38" s="23">
        <f t="shared" si="9"/>
        <v>6749.509765625</v>
      </c>
      <c r="Q38" s="23">
        <f t="shared" si="10"/>
        <v>8590.28515625</v>
      </c>
      <c r="R38" s="98">
        <f t="shared" si="11"/>
        <v>12271.8359375</v>
      </c>
    </row>
    <row r="39" spans="1:18" ht="15.75" thickBot="1" x14ac:dyDescent="0.3">
      <c r="A39" s="2"/>
      <c r="B39" s="99">
        <v>5</v>
      </c>
      <c r="C39" s="100">
        <f>3.14159*(B39/2)^2</f>
        <v>19.634937499999999</v>
      </c>
      <c r="D39" s="101">
        <f t="shared" si="12"/>
        <v>294.52406250000001</v>
      </c>
      <c r="E39" s="102">
        <f t="shared" si="13"/>
        <v>589.04812500000003</v>
      </c>
      <c r="F39" s="102">
        <f t="shared" si="14"/>
        <v>883.57218749999993</v>
      </c>
      <c r="G39" s="102">
        <f t="shared" si="3"/>
        <v>1570.7950000000001</v>
      </c>
      <c r="H39" s="102">
        <f t="shared" si="4"/>
        <v>1963.4937499999999</v>
      </c>
      <c r="I39" s="102">
        <f t="shared" si="15"/>
        <v>2945.2406249999999</v>
      </c>
      <c r="J39" s="1"/>
      <c r="K39" s="9">
        <v>150</v>
      </c>
      <c r="L39" s="103">
        <f t="shared" si="17"/>
        <v>17671.443749999999</v>
      </c>
      <c r="M39" s="101">
        <f t="shared" si="6"/>
        <v>1767.1443749999999</v>
      </c>
      <c r="N39" s="102">
        <f t="shared" si="7"/>
        <v>3534.2887499999997</v>
      </c>
      <c r="O39" s="102">
        <f t="shared" si="8"/>
        <v>5301.4331249999996</v>
      </c>
      <c r="P39" s="102">
        <f t="shared" si="9"/>
        <v>9719.2940624999992</v>
      </c>
      <c r="Q39" s="102">
        <f t="shared" si="10"/>
        <v>12370.010624999999</v>
      </c>
      <c r="R39" s="104">
        <f t="shared" si="11"/>
        <v>17671.443749999999</v>
      </c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</row>
  </sheetData>
  <sheetProtection algorithmName="SHA-512" hashValue="3Tn4UPvWYnM/3PCgbkd9nFJL7qxzD7WYbHEaWLV+Lg4MqIg0xba02ZDX3gakV5t5lV1PHfrjVPFmpfeRu7NsYA==" saltValue="hYlO+BfIkif1bItsJLiHOw==" spinCount="100000" sheet="1" objects="1" scenarios="1"/>
  <mergeCells count="11">
    <mergeCell ref="I16:I17"/>
    <mergeCell ref="A17:A18"/>
    <mergeCell ref="E17:E18"/>
    <mergeCell ref="F17:F18"/>
    <mergeCell ref="I18:I19"/>
    <mergeCell ref="C20:C23"/>
    <mergeCell ref="B7:C7"/>
    <mergeCell ref="E7:F7"/>
    <mergeCell ref="A15:A16"/>
    <mergeCell ref="E15:E16"/>
    <mergeCell ref="F15:F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081004FF1CC4BB353DFE4DC686E16" ma:contentTypeVersion="13" ma:contentTypeDescription="Create a new document." ma:contentTypeScope="" ma:versionID="70f22c68206d23d21f5e0a6f92ab2b74">
  <xsd:schema xmlns:xsd="http://www.w3.org/2001/XMLSchema" xmlns:xs="http://www.w3.org/2001/XMLSchema" xmlns:p="http://schemas.microsoft.com/office/2006/metadata/properties" xmlns:ns3="6c5c00e3-8454-44e1-aff4-64a97a6a4d65" xmlns:ns4="a6c11896-a177-4fd7-9568-d2bd5612887b" targetNamespace="http://schemas.microsoft.com/office/2006/metadata/properties" ma:root="true" ma:fieldsID="e541144972ab60a2e59367ccb19c9416" ns3:_="" ns4:_="">
    <xsd:import namespace="6c5c00e3-8454-44e1-aff4-64a97a6a4d65"/>
    <xsd:import namespace="a6c11896-a177-4fd7-9568-d2bd561288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c00e3-8454-44e1-aff4-64a97a6a4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11896-a177-4fd7-9568-d2bd56128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010AF-B7DC-4716-B0AC-AE490557D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c00e3-8454-44e1-aff4-64a97a6a4d65"/>
    <ds:schemaRef ds:uri="a6c11896-a177-4fd7-9568-d2bd56128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64FBF-0942-4E10-92F4-3C25A5C2E4D2}">
  <ds:schemaRefs>
    <ds:schemaRef ds:uri="6c5c00e3-8454-44e1-aff4-64a97a6a4d6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6c11896-a177-4fd7-9568-d2bd5612887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34CA3F-C20A-45B3-A721-7BB851221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Force Calculations</vt:lpstr>
      <vt:lpstr>Fuerza Calculos (Spanish)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Cummings</dc:creator>
  <cp:lastModifiedBy>Eric Cummings</cp:lastModifiedBy>
  <dcterms:created xsi:type="dcterms:W3CDTF">2020-11-19T22:17:36Z</dcterms:created>
  <dcterms:modified xsi:type="dcterms:W3CDTF">2021-09-24T13:25:44Z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0x0101005E4081004FF1CC4BB353DFE4DC686E16</vt:lpwstr>
  </property>
</Properties>
</file>